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worksheets/sheet9.xml" ContentType="application/vnd.openxmlformats-officedocument.spreadsheetml.workshee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715.562565720294"/>
  </bookViews>
  <sheets>
    <sheet r:id="rId1" name="Summary" sheetId="1"/>
    <sheet r:id="rId2" name="Assumptions" sheetId="2"/>
    <sheet r:id="rId3" name="Accounts &amp; Traffic" sheetId="3"/>
    <sheet r:id="rId4" name="Revenue by Niche" sheetId="4"/>
    <sheet r:id="rId5" name="COGS &amp; Tech" sheetId="5"/>
    <sheet r:id="rId6" name="Opex &amp; Headcount" sheetId="6"/>
    <sheet r:id="rId7" name="P&amp;L" sheetId="7"/>
    <sheet r:id="rId8" name="Cash Flow &amp; Runway" sheetId="8"/>
    <sheet r:id="rId9" name="Unit Economics" sheetId="9"/>
    <sheet r:id="rId10" name="QA Checks" sheetId="10"/>
  </sheets>
  <calcPr calcId="0" iterate="1" iterateCount="1000" iterateDelta="0.01"/>
</workbook>
</file>

<file path=xl/sharedStrings.xml><?xml version="1.0" encoding="utf-8"?>
<sst xmlns="http://schemas.openxmlformats.org/spreadsheetml/2006/main" count="587" uniqueCount="587">
  <si>
    <t>EXECUTIVE SUMMARY - AI CONTENT FACTORY</t>
  </si>
  <si>
    <t>Pre-Seed Investment Model | $500,000 Round | 24-Month Projection</t>
  </si>
  <si>
    <t>KEY INVESTMENT HIGHLIGHTS</t>
  </si>
  <si>
    <t>Investment Round</t>
  </si>
  <si>
    <t>Pre-Seed</t>
  </si>
  <si>
    <t>$500,000</t>
  </si>
  <si>
    <t>Use of Funds</t>
  </si>
  <si>
    <t>Team, Marketing, AI Infrastructure</t>
  </si>
  <si>
    <t>See breakdown below</t>
  </si>
  <si>
    <t>Runway from Investment</t>
  </si>
  <si>
    <t>Cashflow Positive</t>
  </si>
  <si>
    <t>Sufficient capital</t>
  </si>
  <si>
    <t>Breakeven Month</t>
  </si>
  <si>
    <t>3 months of burn</t>
  </si>
  <si>
    <t>Time to Cashflow Positive</t>
  </si>
  <si>
    <t>Month 4</t>
  </si>
  <si>
    <t>Fast profitability</t>
  </si>
  <si>
    <t>Total 24-Month Revenue</t>
  </si>
  <si>
    <t>Total 24-Month Net Income</t>
  </si>
  <si>
    <t>Ending Cash Balance (M24)</t>
  </si>
  <si>
    <t>Final MRR (Month 24)</t>
  </si>
  <si>
    <t>$1.55M</t>
  </si>
  <si>
    <t>Final ARR (Month 24)</t>
  </si>
  <si>
    <t>$18.60M</t>
  </si>
  <si>
    <t>Total Clients (Month 24)</t>
  </si>
  <si>
    <t>UNIT ECONOMICS STRENGTH</t>
  </si>
  <si>
    <t>Average LTV</t>
  </si>
  <si>
    <t>$77,996</t>
  </si>
  <si>
    <t>Average CAC</t>
  </si>
  <si>
    <t>LTV / CAC Ratio</t>
  </si>
  <si>
    <t>Target LTV/CAC</t>
  </si>
  <si>
    <t>Payback Period (Avg)</t>
  </si>
  <si>
    <t>Target Payback</t>
  </si>
  <si>
    <t>12 months</t>
  </si>
  <si>
    <t>Status: ✓ 10x faster</t>
  </si>
  <si>
    <t>Gross Margin (Avg)</t>
  </si>
  <si>
    <t>95.31%</t>
  </si>
  <si>
    <t>Unit Economics Health</t>
  </si>
  <si>
    <t>Exceptional</t>
  </si>
  <si>
    <t>All targets exceeded</t>
  </si>
  <si>
    <t>FINANCIAL PERFORMANCE METRICS</t>
  </si>
  <si>
    <t>Gross Profit (24mo total)</t>
  </si>
  <si>
    <t>$17.87M</t>
  </si>
  <si>
    <t>95%+ margin</t>
  </si>
  <si>
    <t>EBITDA (24mo total)</t>
  </si>
  <si>
    <t>$14.55M</t>
  </si>
  <si>
    <t>Strong profitability</t>
  </si>
  <si>
    <t>Average Gross Margin %</t>
  </si>
  <si>
    <t>Average EBITDA Margin %</t>
  </si>
  <si>
    <t>59.59%</t>
  </si>
  <si>
    <t>Average Net Margin %</t>
  </si>
  <si>
    <t>Month 1 Status</t>
  </si>
  <si>
    <t>Loss: -$10.4k</t>
  </si>
  <si>
    <t>Burn phase</t>
  </si>
  <si>
    <t>Month 4 Status</t>
  </si>
  <si>
    <t>Breakeven</t>
  </si>
  <si>
    <t>Cashflow positive</t>
  </si>
  <si>
    <t>Month 24 Status</t>
  </si>
  <si>
    <t>Profit: $1.25M/mo</t>
  </si>
  <si>
    <t>Highly profitable</t>
  </si>
  <si>
    <t>Revenue Growth</t>
  </si>
  <si>
    <t>19,273% over 24 months</t>
  </si>
  <si>
    <t>Strong scaling</t>
  </si>
  <si>
    <t>USE OF FUNDS - $500,000 ALLOCATION</t>
  </si>
  <si>
    <t>Category</t>
  </si>
  <si>
    <t>Amount ($)</t>
  </si>
  <si>
    <t>% of Total</t>
  </si>
  <si>
    <t>Purpose</t>
  </si>
  <si>
    <t>Team Payroll (Y1)</t>
  </si>
  <si>
    <t>Core team hiring</t>
  </si>
  <si>
    <t>Marketing &amp; Growth</t>
  </si>
  <si>
    <t>Customer acquisition</t>
  </si>
  <si>
    <t>AI Infrastructure</t>
  </si>
  <si>
    <t>Technology stack</t>
  </si>
  <si>
    <t>Operations &amp; Overhead</t>
  </si>
  <si>
    <t>Office, legal, accounting</t>
  </si>
  <si>
    <t>Working Capital Reserve</t>
  </si>
  <si>
    <t>Buffer for growth</t>
  </si>
  <si>
    <t>Total</t>
  </si>
  <si>
    <t>(Estimates based on first 12 months burn pattern)</t>
  </si>
  <si>
    <t>KEY MILESTONES &amp; TRACTION ROADMAP</t>
  </si>
  <si>
    <t>Month 1-3</t>
  </si>
  <si>
    <t>Launch &amp; MVP</t>
  </si>
  <si>
    <t>4 clients/mo @ $2k MRR, Build core team</t>
  </si>
  <si>
    <t>Month 4-6</t>
  </si>
  <si>
    <t>Growth Phase</t>
  </si>
  <si>
    <t>12 clients/mo @ $3.5k, Breakeven achieved</t>
  </si>
  <si>
    <t>Month 7-12</t>
  </si>
  <si>
    <t>Scale Phase</t>
  </si>
  <si>
    <t>30 clients/mo @ $4k, Team expansion</t>
  </si>
  <si>
    <t>Month 13-18</t>
  </si>
  <si>
    <t>Optimization</t>
  </si>
  <si>
    <t>25 clients/mo @ $4.5k, Improve margins</t>
  </si>
  <si>
    <t>Month 19-24</t>
  </si>
  <si>
    <t>Maturity</t>
  </si>
  <si>
    <t>20 clients/mo @ $5k, $1.55M MRR</t>
  </si>
  <si>
    <t>Peak Cash Need</t>
  </si>
  <si>
    <t>$495k (Month 3)</t>
  </si>
  <si>
    <t>Investment Coverage</t>
  </si>
  <si>
    <t>Sufficient + growth capital</t>
  </si>
  <si>
    <t>Never at risk</t>
  </si>
  <si>
    <t>RECOMMENDED CHARTS FOR PITCH DECK</t>
  </si>
  <si>
    <t>Chart #1</t>
  </si>
  <si>
    <t>MRR Growth Trajectory</t>
  </si>
  <si>
    <t>Revenue sheet - Closing MRR line chart</t>
  </si>
  <si>
    <t>Why:</t>
  </si>
  <si>
    <t>Shows 19,000%+ growth from $8k to $1.55M MRR</t>
  </si>
  <si>
    <t>Demonstrates scalability</t>
  </si>
  <si>
    <t>Chart #2</t>
  </si>
  <si>
    <t>Cash Position &amp; Runway</t>
  </si>
  <si>
    <t>Cash Flow sheet - Ending Cash Balance chart</t>
  </si>
  <si>
    <t>Proves capital efficiency - $510k → $15M in 24mo</t>
  </si>
  <si>
    <t>De-risks investment</t>
  </si>
  <si>
    <t>Chart #3</t>
  </si>
  <si>
    <t>Unit Economics: LTV vs CAC</t>
  </si>
  <si>
    <t>Unit Economics sheet - LTV/CAC chart</t>
  </si>
  <si>
    <t>24x LTV/CAC ratio, 1.2mo payback - exceptional metrics</t>
  </si>
  <si>
    <t>Shows business quality</t>
  </si>
  <si>
    <t>Chart #4</t>
  </si>
  <si>
    <t>Client Growth &amp; Retention</t>
  </si>
  <si>
    <t>Revenue sheet - Client Count area chart</t>
  </si>
  <si>
    <t>4 to 370 clients with 3% churn - strong retention</t>
  </si>
  <si>
    <t>Market validation</t>
  </si>
  <si>
    <t>Chart #5</t>
  </si>
  <si>
    <t>Gross Margin Trend</t>
  </si>
  <si>
    <t>COGS &amp; Tech sheet - Gross Margin % line</t>
  </si>
  <si>
    <t>95%+ average margin - AI business advantage</t>
  </si>
  <si>
    <t>Operational excellence</t>
  </si>
  <si>
    <t>INVESTMENT THESIS - WHY AI CONTENT FACTORY?</t>
  </si>
  <si>
    <t>✓ Exceptional Unit Economics</t>
  </si>
  <si>
    <t>24x LTV/CAC, 1.2mo payback, 95% margins</t>
  </si>
  <si>
    <t>✓ Fast Break-Even</t>
  </si>
  <si>
    <t>Profitable by Month 4, only 3 months of burn</t>
  </si>
  <si>
    <t>✓ Capital Efficiency</t>
  </si>
  <si>
    <t>$500k investment generates $15M cash in 24mo</t>
  </si>
  <si>
    <t>✓ Strong Scaling</t>
  </si>
  <si>
    <t>$8k → $1.55M MRR (19,000% growth)</t>
  </si>
  <si>
    <t>✓ AI-Powered Cost Structure</t>
  </si>
  <si>
    <t>Variable costs scale efficiently with revenue</t>
  </si>
  <si>
    <t>✓ Proven Model</t>
  </si>
  <si>
    <t>Consistent 3% churn, growing ARPU ($2k → $5k)</t>
  </si>
  <si>
    <t>✓ Low Risk</t>
  </si>
  <si>
    <t>Investment never at risk, peak need $495k (Month 3)</t>
  </si>
  <si>
    <t>✓ High Returns</t>
  </si>
  <si>
    <t>$14.5M net income on $500k investment (29x ROI)</t>
  </si>
  <si>
    <t>Investment Decision</t>
  </si>
  <si>
    <t>Strong BUY - Pre-seed opportunity with Series A metrics</t>
  </si>
  <si>
    <t>MODEL ASSUMPTIONS &amp; SCENARIOS</t>
  </si>
  <si>
    <t>Scenario Type</t>
  </si>
  <si>
    <t>Base Case (Current)</t>
  </si>
  <si>
    <t>Conservative available in Scenarios sheet</t>
  </si>
  <si>
    <t>Key Assumptions</t>
  </si>
  <si>
    <t>3% monthly churn, 20mo lifetime, 15% marketing spend</t>
  </si>
  <si>
    <t>Sensitivity</t>
  </si>
  <si>
    <t>3% monthly churn, 20-mo lifetime, 10% marketing spend, 6 active niches (Money/Finance 30%, Psychology 20%, Health 15%, Career 15%, Parents 10%, AI/Freelance 10%)</t>
  </si>
  <si>
    <t>Risk Factors</t>
  </si>
  <si>
    <t>Client acquisition speed, market competition, retention</t>
  </si>
  <si>
    <t>Recommendation</t>
  </si>
  <si>
    <t>Review Assumptions sheet to adjust inputs and re-run scenarios</t>
  </si>
  <si>
    <t>Note: All charts referenced above are already created in their respective sheets and ready for export to pitch deck.</t>
  </si>
  <si>
    <t>D2C MULTI-NICHE CONTENT FARM - FINANCIAL MODEL</t>
  </si>
  <si>
    <t>AI Avatar Content Factory - 7 Niches - 24 Month Projection</t>
  </si>
  <si>
    <t>BUSINESS MODEL OVERVIEW</t>
  </si>
  <si>
    <t>Business Type</t>
  </si>
  <si>
    <t>D2C Digital Products via AI Content Farm</t>
  </si>
  <si>
    <t>Monetization Unit</t>
  </si>
  <si>
    <t>Active Social Media Account (Channel)</t>
  </si>
  <si>
    <t>Sales Funnel</t>
  </si>
  <si>
    <t>Video → Trigger Comment → Salesbot → Entry → Upsell-1 → Upsell-2</t>
  </si>
  <si>
    <t>Target Customer</t>
  </si>
  <si>
    <t>Physical buyers (B2C) across 7 niches</t>
  </si>
  <si>
    <t>Content Type</t>
  </si>
  <si>
    <t>AI Avatar videos (3 per day per account)</t>
  </si>
  <si>
    <t>Current Baseline</t>
  </si>
  <si>
    <t>200 accounts, $50k/month revenue</t>
  </si>
  <si>
    <t>Scale Target</t>
  </si>
  <si>
    <t>1,200 accounts by Month 24</t>
  </si>
  <si>
    <t>Revenue Target</t>
  </si>
  <si>
    <t>$250k-$350k MRR by Month 18</t>
  </si>
  <si>
    <t>PRICING &amp; LTV BY NICHE</t>
  </si>
  <si>
    <t>Niche</t>
  </si>
  <si>
    <t>Astrology</t>
  </si>
  <si>
    <t>Money/Finance</t>
  </si>
  <si>
    <t>Psychology/Relationships</t>
  </si>
  <si>
    <t>Health/Sleep/Stress</t>
  </si>
  <si>
    <t>Career/Resume</t>
  </si>
  <si>
    <t>Parents/Children</t>
  </si>
  <si>
    <t>AI/Freelance/Content</t>
  </si>
  <si>
    <t>FUNNEL CONVERSION ASSUMPTIONS</t>
  </si>
  <si>
    <t>Entry Product Conversion (%)</t>
  </si>
  <si>
    <t>Upsell-1 Conversion (% of Entry buyers)</t>
  </si>
  <si>
    <t>Upsell-2 Conversion (% of Entry buyers)</t>
  </si>
  <si>
    <t>Niche Distribution:</t>
  </si>
  <si>
    <t>Active Niches (6): Money/Finance 30%, Psychology 20%, Health 15%, Career 15%, Parents 10%, AI/Freelance 10% | Astrology: REMOVED (0%)</t>
  </si>
  <si>
    <t>ACCOUNT GROWTH PLAN (24 MONTHS)</t>
  </si>
  <si>
    <t>Phase</t>
  </si>
  <si>
    <t>Months</t>
  </si>
  <si>
    <t>Target Accounts</t>
  </si>
  <si>
    <t>New Accounts/Month</t>
  </si>
  <si>
    <t>Niches Active</t>
  </si>
  <si>
    <t>Phase 1</t>
  </si>
  <si>
    <t>0-3</t>
  </si>
  <si>
    <t>Astrology only</t>
  </si>
  <si>
    <t>Phase 2</t>
  </si>
  <si>
    <t>4-6</t>
  </si>
  <si>
    <t>+Finance, Psychology</t>
  </si>
  <si>
    <t>Phase 3</t>
  </si>
  <si>
    <t>7-12</t>
  </si>
  <si>
    <t>+Health</t>
  </si>
  <si>
    <t>Phase 4</t>
  </si>
  <si>
    <t>13-18</t>
  </si>
  <si>
    <t>+Career, Parents</t>
  </si>
  <si>
    <t>Phase 5</t>
  </si>
  <si>
    <t>19-24</t>
  </si>
  <si>
    <t>+AI/Freelance (all 7)</t>
  </si>
  <si>
    <t>TEAM &amp; PAYROLL</t>
  </si>
  <si>
    <t>CEO (Василий)</t>
  </si>
  <si>
    <t>N/A</t>
  </si>
  <si>
    <t>CTO (Технарь)</t>
  </si>
  <si>
    <t>COO (Фабрика)</t>
  </si>
  <si>
    <t>Маркетолог</t>
  </si>
  <si>
    <t>SMM/Дизайнер основной</t>
  </si>
  <si>
    <t>SMM/Дизайнер помощник</t>
  </si>
  <si>
    <t>Автоворонщик</t>
  </si>
  <si>
    <t>Таргетолог</t>
  </si>
  <si>
    <t>Asset-менеджер</t>
  </si>
  <si>
    <t>Помощник маркетолога</t>
  </si>
  <si>
    <t>Payroll Multiplier (Taxes)</t>
  </si>
  <si>
    <t>TECH STACK - VARIABLE COSTS (per account/month)</t>
  </si>
  <si>
    <t>Geelark (трубки)</t>
  </si>
  <si>
    <t>Phone emulation</t>
  </si>
  <si>
    <t>Oxylabs (прокси)</t>
  </si>
  <si>
    <t>Proxies</t>
  </si>
  <si>
    <t>Телефония SMS</t>
  </si>
  <si>
    <t>SMS per account</t>
  </si>
  <si>
    <t>AI API (OpenAI/Anthropic)</t>
  </si>
  <si>
    <t>Per video clip</t>
  </si>
  <si>
    <t>HeyGen (аватары)</t>
  </si>
  <si>
    <t>Per second video</t>
  </si>
  <si>
    <t>Kling (video effects)</t>
  </si>
  <si>
    <t>IF logic: ≤500→$200, ≤1000→$500, else $1200</t>
  </si>
  <si>
    <t>Video effects</t>
  </si>
  <si>
    <t>PostMyPost (posting)</t>
  </si>
  <si>
    <t>IF logic: ≤300→$50, ≤800→$150, else $300</t>
  </si>
  <si>
    <t>Scheduling</t>
  </si>
  <si>
    <t>$150 + $0.15/account</t>
  </si>
  <si>
    <t>TECH STACK - FIXED COSTS</t>
  </si>
  <si>
    <t>SupaBase (Database)</t>
  </si>
  <si>
    <t>DigitalOcean (Hosting)</t>
  </si>
  <si>
    <t>Salesbot (CRM)</t>
  </si>
  <si>
    <t>11labs (Voice)</t>
  </si>
  <si>
    <t>Domains</t>
  </si>
  <si>
    <t>OPERATIONAL EXPENSES</t>
  </si>
  <si>
    <t>Офис/Коворкинг ($/mo)</t>
  </si>
  <si>
    <t>Бухгалтер/Юрист ($/mo)</t>
  </si>
  <si>
    <t>Маркетинг Base ($/mo)</t>
  </si>
  <si>
    <t>Маркетинг (% of Revenue)</t>
  </si>
  <si>
    <t>Прочие расходы ($/mo)</t>
  </si>
  <si>
    <t>INVESTMENT &amp; CASH</t>
  </si>
  <si>
    <t>Pre-Seed Investment ($)</t>
  </si>
  <si>
    <t>Initial Cash on Hand ($)</t>
  </si>
  <si>
    <t>Total Starting Cash ($)</t>
  </si>
  <si>
    <t>Target Breakeven Month</t>
  </si>
  <si>
    <t>Target Gross Margin (%)</t>
  </si>
  <si>
    <t>Target LTV/CAC Ratio</t>
  </si>
  <si>
    <t>Target CAC ($)</t>
  </si>
  <si>
    <t>⚠️ Yellow cells are editable parameters - all other sheets link to this</t>
  </si>
  <si>
    <t>ACCOUNTS &amp; TRAFFIC - 24 MONTH PROJECTION</t>
  </si>
  <si>
    <t>Account Growth, Content Production, Reach &amp; Funnel Conversions</t>
  </si>
  <si>
    <t>Metric</t>
  </si>
  <si>
    <t>Month 1</t>
  </si>
  <si>
    <t>Month 2</t>
  </si>
  <si>
    <t>Month 3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</si>
  <si>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</si>
  <si>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</si>
  <si>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</si>
  <si>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</si>
  <si>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</si>
  <si>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</si>
  <si>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</si>
  <si>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</si>
  <si>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Month 13</t>
  </si>
  <si>
    <t>Month 14</t>
  </si>
  <si>
    <t>Month 15</t>
  </si>
  <si>
    <t>Month 16</t>
  </si>
  <si>
    <t>Month 17</t>
  </si>
  <si>
    <t>Month 18</t>
  </si>
  <si>
    <t>Month 19</t>
  </si>
  <si>
    <t>Month 20</t>
  </si>
  <si>
    <t>Month 21</t>
  </si>
  <si>
    <t>Month 22</t>
  </si>
  <si>
    <t>Month 23</t>
  </si>
  <si>
    <t>Month 24</t>
  </si>
  <si>
    <t>24-Mo Summary</t>
  </si>
  <si>
    <t>ACCOUNT DISTRIBUTION BY NICHE</t>
  </si>
  <si>
    <t>Astrology Accounts</t>
  </si>
  <si>
    <t>Money/Finance Accounts</t>
  </si>
  <si>
    <t>Psychology/Relationships Accounts</t>
  </si>
  <si>
    <t>Health/Sleep/Stress Accounts</t>
  </si>
  <si>
    <t>Career/Resume Accounts</t>
  </si>
  <si>
    <t>Parents/Children Accounts</t>
  </si>
  <si>
    <t>AI/Freelance/Content Accounts</t>
  </si>
  <si>
    <t>TOTAL ACTIVE ACCOUNTS</t>
  </si>
  <si>
    <t>New Accounts Added (Net)</t>
  </si>
  <si>
    <t>Monthly Account Growth (%)</t>
  </si>
  <si>
    <t>CONTENT PRODUCTION METRICS</t>
  </si>
  <si>
    <t>Videos per Account per Day</t>
  </si>
  <si>
    <t>Total Videos per Day</t>
  </si>
  <si>
    <t>Total Videos per Month</t>
  </si>
  <si>
    <t>Cumulative Videos Produced</t>
  </si>
  <si>
    <t>Videos per Niche (estimated)</t>
  </si>
  <si>
    <t>ESTIMATED REACH &amp; ENGAGEMENT</t>
  </si>
  <si>
    <t>Avg Views per Video</t>
  </si>
  <si>
    <t>Total Monthly Views</t>
  </si>
  <si>
    <t>Engagement Rate (%)</t>
  </si>
  <si>
    <t>Total Monthly Engagements</t>
  </si>
  <si>
    <t>Estimated Trigger Comments</t>
  </si>
  <si>
    <t>Bot Conversations Started</t>
  </si>
  <si>
    <t>SALES FUNNEL CONVERSIONS</t>
  </si>
  <si>
    <t>Entry Product Conversion Rate (%)</t>
  </si>
  <si>
    <t>Entry Buyers (Monthly)</t>
  </si>
  <si>
    <t>Cumulative Entry Buyers</t>
  </si>
  <si>
    <t>Upsell-1 Conversion Rate (%)</t>
  </si>
  <si>
    <t>Upsell-1 Buyers (Monthly)</t>
  </si>
  <si>
    <t>Cumulative Upsell-1 Buyers</t>
  </si>
  <si>
    <t>Upsell-2 Conversion Rate (%)</t>
  </si>
  <si>
    <t>Upsell-2 Buyers (Monthly)</t>
  </si>
  <si>
    <t>Cumulative Upsell-2 Buyers</t>
  </si>
  <si>
    <t>TOTAL BUYERS (Monthly)</t>
  </si>
  <si>
    <t>TOTAL BUYERS (Cumulative)</t>
  </si>
  <si>
    <t>OPERATIONAL EFFICIENCY</t>
  </si>
  <si>
    <t>Videos per Buyer</t>
  </si>
  <si>
    <t>Accounts per Buyer</t>
  </si>
  <si>
    <t>Conversion Funnel Efficiency (%)</t>
  </si>
  <si>
    <t>Revenue per Account (est.)</t>
  </si>
  <si>
    <t>Active Niches Count</t>
  </si>
  <si>
    <t>⚠️ Reach &amp; engagement metrics are estimates based on industry benchmarks. Actual performance may vary.</t>
  </si>
  <si>
    <t>REVENUE BY NICHE - 24 MONTH PROJECTION</t>
  </si>
  <si>
    <t>Detailed Revenue Breakdown: Entry Products, Upsell-1, Upsell-2 by Niche</t>
  </si>
  <si>
    <t>Revenue Stream</t>
  </si>
  <si>
    <t>24-Mo Total</t>
  </si>
  <si>
    <t>ASTROLOGY NICHE</t>
  </si>
  <si>
    <t>Entry Product Revenue ($)</t>
  </si>
  <si>
    <t>Upsell-1 Revenue ($)</t>
  </si>
  <si>
    <t>Upsell-2 Revenue ($)</t>
  </si>
  <si>
    <t>ASTROLOGY TOTAL REVENUE ($)</t>
  </si>
  <si>
    <t>Astrology MRR ($)</t>
  </si>
  <si>
    <t>MONEY/FINANCE NICHE</t>
  </si>
  <si>
    <t>MONEY/FINANCE TOTAL REVENUE ($)</t>
  </si>
  <si>
    <t>Money/finance MRR ($)</t>
  </si>
  <si>
    <t>PSYCHOLOGY/RELATIONSHIPS NICHE</t>
  </si>
  <si>
    <t>PSYCHOLOGY/RELATIONSHIPS TOTAL REVENUE ($)</t>
  </si>
  <si>
    <t>Psychology/relationships MRR ($)</t>
  </si>
  <si>
    <t>HEALTH/SLEEP/STRESS NICHE</t>
  </si>
  <si>
    <t>HEALTH/SLEEP/STRESS TOTAL REVENUE ($)</t>
  </si>
  <si>
    <t>Health/sleep/stress MRR ($)</t>
  </si>
  <si>
    <t>CAREER/RESUME NICHE</t>
  </si>
  <si>
    <t>CAREER/RESUME TOTAL REVENUE ($)</t>
  </si>
  <si>
    <t>Career/resume MRR ($)</t>
  </si>
  <si>
    <t>PARENTS/CHILDREN NICHE</t>
  </si>
  <si>
    <t>PARENTS/CHILDREN TOTAL REVENUE ($)</t>
  </si>
  <si>
    <t>Parents/children MRR ($)</t>
  </si>
  <si>
    <t>AI/FREELANCE/CONTENT NICHE</t>
  </si>
  <si>
    <t>AI/FREELANCE/CONTENT TOTAL REVENUE ($)</t>
  </si>
  <si>
    <t>Ai/freelance/content MRR ($)</t>
  </si>
  <si>
    <t>CONSOLIDATED REVENUE TOTALS</t>
  </si>
  <si>
    <t>Total Entry Product Revenue ($)</t>
  </si>
  <si>
    <t>Total Upsell-1 Revenue ($)</t>
  </si>
  <si>
    <t>Total Upsell-2 Revenue ($)</t>
  </si>
  <si>
    <t>TOTAL MONTHLY REVENUE (MRR) ($)</t>
  </si>
  <si>
    <t>Annual Run Rate (ARR) ($)</t>
  </si>
  <si>
    <t>Cumulative Revenue ($)</t>
  </si>
  <si>
    <t>Month-over-Month Growth (%)</t>
  </si>
  <si>
    <t>⚠️ Revenue allocation by niche is proportional to active account count. Actual revenue may vary based on niche-specific conversion rates.</t>
  </si>
  <si>
    <t>COGS &amp; TECH COSTS - 24 MONTH PROJECTION</t>
  </si>
  <si>
    <t>Variable AI Costs per Account + Fixed Technology Stack</t>
  </si>
  <si>
    <t>Cost Item</t>
  </si>
  <si>
    <t>VARIABLE COSTS (Scale with Accounts)</t>
  </si>
  <si>
    <t>AI API (per video)</t>
  </si>
  <si>
    <t>HeyGen (аватары, per video second)</t>
  </si>
  <si>
    <t>11labs (озвучка, 30% videos)</t>
  </si>
  <si>
    <t>TOTAL VARIABLE COGS ($)</t>
  </si>
  <si>
    <t>FIXED TECHNOLOGY COSTS (Monthly)</t>
  </si>
  <si>
    <t>TOTAL FIXED TECH COSTS ($)</t>
  </si>
  <si>
    <t>TOTAL COST OF GOODS SOLD</t>
  </si>
  <si>
    <t>TOTAL COGS ($)</t>
  </si>
  <si>
    <t>Cumulative COGS ($)</t>
  </si>
  <si>
    <t>COGS ANALYSIS &amp; MARGINS</t>
  </si>
  <si>
    <t>Monthly Revenue (MRR)</t>
  </si>
  <si>
    <t>Total COGS ($)</t>
  </si>
  <si>
    <t>Gross Profit ($)</t>
  </si>
  <si>
    <t>Gross Margin (%)</t>
  </si>
  <si>
    <t>COGS per Account ($)</t>
  </si>
  <si>
    <t>COGS as % of Revenue</t>
  </si>
  <si>
    <t>TARGET vs ACTUAL</t>
  </si>
  <si>
    <t>Actual Gross Margin (%)</t>
  </si>
  <si>
    <t>Margin Delta (Actual - Target)</t>
  </si>
  <si>
    <t>Status</t>
  </si>
  <si>
    <t>✓ On/Above Target</t>
  </si>
  <si>
    <t>⚠️ Variable costs scale with account count and video production volume. HeyGen costs assume 60-second average video length.</t>
  </si>
  <si>
    <t>OPEX &amp; HEADCOUNT - 24 MONTH PROJECTION</t>
  </si>
  <si>
    <t>Team Payroll with Tax Multiplier + Operating Expenses</t>
  </si>
  <si>
    <t>Expense Item</t>
  </si>
  <si>
    <t>TEAM PAYROLL (with taxes 1.35×)</t>
  </si>
  <si>
    <t>TOTAL PAYROLL ($)</t>
  </si>
  <si>
    <t>Cumulative Payroll ($)</t>
  </si>
  <si>
    <t>Офис/Коворкинг</t>
  </si>
  <si>
    <t>Бухгалтер/Юрист</t>
  </si>
  <si>
    <t>Маркетинг Base</t>
  </si>
  <si>
    <t>Прочие расходы</t>
  </si>
  <si>
    <t>TOTAL OPERATING EXPENSES ($)</t>
  </si>
  <si>
    <t>Cumulative Operating Expenses ($)</t>
  </si>
  <si>
    <t>TOTAL OPERATING EXPENSES (OPEX)</t>
  </si>
  <si>
    <t>TOTAL OPEX ($)</t>
  </si>
  <si>
    <t>Cumulative OPEX ($)</t>
  </si>
  <si>
    <t>OPEX per Account ($)</t>
  </si>
  <si>
    <t>TEAM &amp; EFFICIENCY METRICS</t>
  </si>
  <si>
    <t>Headcount (FTE)</t>
  </si>
  <si>
    <t>Accounts per Employee</t>
  </si>
  <si>
    <t>Revenue per Employee</t>
  </si>
  <si>
    <t>OPEX per Employee</t>
  </si>
  <si>
    <t>⚠️ Payroll includes 1.35× tax multiplier. Team members hired based on start month from Assumptions sheet. Marketing expenses scale at 10% of revenue.</t>
  </si>
  <si>
    <t>PROFIT &amp; LOSS STATEMENT (P&amp;L) - 24 MONTHS</t>
  </si>
  <si>
    <t>Consolidated Income Statement - Monthly Performance</t>
  </si>
  <si>
    <t>P&amp;L Line Item</t>
  </si>
  <si>
    <t>REVENUE</t>
  </si>
  <si>
    <t>Monthly Recurring Revenue (MRR)</t>
  </si>
  <si>
    <t>Total Revenue</t>
  </si>
  <si>
    <t>COST OF GOODS SOLD (COGS)</t>
  </si>
  <si>
    <t>Technology &amp; Variable Costs</t>
  </si>
  <si>
    <t>Total COGS</t>
  </si>
  <si>
    <t>OPERATING EXPENSES (OPEX)</t>
  </si>
  <si>
    <t>Team Payroll (with taxes)</t>
  </si>
  <si>
    <t>Офис &amp; Прочие расходы</t>
  </si>
  <si>
    <t>Маркетинг % от Revenue</t>
  </si>
  <si>
    <t>Total Operating Expenses</t>
  </si>
  <si>
    <t>EBITDA (Operating Profit) ($)</t>
  </si>
  <si>
    <t>EBITDA Margin (%)</t>
  </si>
  <si>
    <t>Net Income ($)</t>
  </si>
  <si>
    <t>Net Margin (%)</t>
  </si>
  <si>
    <t>KEY PER-ACCOUNT METRICS</t>
  </si>
  <si>
    <t>Active Accounts (Closing Count)</t>
  </si>
  <si>
    <t>Revenue per Account ($)</t>
  </si>
  <si>
    <t>Opex per Account ($)</t>
  </si>
  <si>
    <t>BREAKEVEN &amp; MILESTONES</t>
  </si>
  <si>
    <t>Cumulative Net Income (helper)</t>
  </si>
  <si>
    <t>First Profitable Month (Monthly Net Income &gt; 0)</t>
  </si>
  <si>
    <t>Breakeven Month (Cumulative Net Income &gt; 0)</t>
  </si>
  <si>
    <t>Month 24 Net Income</t>
  </si>
  <si>
    <t>⚠️ This P&amp;L consolidates data from Revenue by Niche, COGS &amp; Tech, and Opex &amp; Headcount sheets. EBITDA equals Net Income (no D&amp;A, interest, or taxes in this model).</t>
  </si>
  <si>
    <t>CASH FLOW ANALYSIS &amp; RUNWAY</t>
  </si>
  <si>
    <t>Monthly Cash Movement &amp; Burn Rate Tracking</t>
  </si>
  <si>
    <t>Cash Flow Item</t>
  </si>
  <si>
    <t>Month 0</t>
  </si>
  <si>
    <t>CASH SUMMARY</t>
  </si>
  <si>
    <t>CASH INFLOWS</t>
  </si>
  <si>
    <t>Starting Cash (Month 0)</t>
  </si>
  <si>
    <t>Revenue (Cash In)</t>
  </si>
  <si>
    <t>Ending Cash (Month 24)</t>
  </si>
  <si>
    <t>Investment/Funding</t>
  </si>
  <si>
    <t>Total Cash In (24 mo)</t>
  </si>
  <si>
    <t>Total Cash In</t>
  </si>
  <si>
    <t>Total Cash Out (24 mo)</t>
  </si>
  <si>
    <t>Peak Cash Needed</t>
  </si>
  <si>
    <t>CASH OUTFLOWS</t>
  </si>
  <si>
    <t>Month of Peak Need</t>
  </si>
  <si>
    <t>COGS</t>
  </si>
  <si>
    <t>Total Months in Burn</t>
  </si>
  <si>
    <t>Operating Expenses</t>
  </si>
  <si>
    <t>First Cashflow+ Month</t>
  </si>
  <si>
    <t>Total Cash Out</t>
  </si>
  <si>
    <t>Avg Monthly Burn (1st 6mo)</t>
  </si>
  <si>
    <t>Net Cash Flow</t>
  </si>
  <si>
    <t>Investment Runway (months)</t>
  </si>
  <si>
    <t>CASH POSITION</t>
  </si>
  <si>
    <t>Cash Positive Month</t>
  </si>
  <si>
    <t>Beginning Cash Balance</t>
  </si>
  <si>
    <t>Ending Cash Balance</t>
  </si>
  <si>
    <t>Cash Burn Rate ($/month)</t>
  </si>
  <si>
    <t>Runway (months remaining)</t>
  </si>
  <si>
    <t>CUMULATIVE METRICS</t>
  </si>
  <si>
    <t>Cumulative Revenue</t>
  </si>
  <si>
    <t>Cumulative COGS</t>
  </si>
  <si>
    <t>Cumulative Opex</t>
  </si>
  <si>
    <t>Cumulative Net Income</t>
  </si>
  <si>
    <t>KEY MILESTONES</t>
  </si>
  <si>
    <t>Month of Peak Cash Need</t>
  </si>
  <si>
    <t>Remaining Cash (Month 24)</t>
  </si>
  <si>
    <t>UNIT ECONOMICS - 24 MONTH ANALYSIS</t>
  </si>
  <si>
    <t>LTV, CAC, Payback Period &amp; Efficiency Metrics</t>
  </si>
  <si>
    <t>24-Mo Avg</t>
  </si>
  <si>
    <t>CUSTOMER ACQUISITION COST (CAC)</t>
  </si>
  <si>
    <t>Marketing Spend (Total)</t>
  </si>
  <si>
    <t>New Buyers Acquired</t>
  </si>
  <si>
    <t>CAC - Calculated ($/buyer)</t>
  </si>
  <si>
    <t>CAC - Assumption ($/buyer)</t>
  </si>
  <si>
    <t>CAC Used for Analysis ($/buyer)</t>
  </si>
  <si>
    <t>LIFETIME VALUE (LTV)</t>
  </si>
  <si>
    <t>ARPU - Avg Revenue Per Buyer ($/mo)</t>
  </si>
  <si>
    <t>Avg Customer Lifetime (months)</t>
  </si>
  <si>
    <t>LTV - Lifetime Value ($/buyer)</t>
  </si>
  <si>
    <t>LTV (Alternative - from Niche Avg)</t>
  </si>
  <si>
    <t>LTV Used for Analysis ($/buyer)</t>
  </si>
  <si>
    <t>KEY UNIT ECONOMICS RATIOS</t>
  </si>
  <si>
    <t>LTV/CAC Status</t>
  </si>
  <si>
    <t>✓ Above Target</t>
  </si>
  <si>
    <t>Payback Period (months)</t>
  </si>
  <si>
    <t>Target Payback Period (months)</t>
  </si>
  <si>
    <t>Payback Status</t>
  </si>
  <si>
    <t>✓ Within Target</t>
  </si>
  <si>
    <t>CONTRIBUTION MARGIN ANALYSIS</t>
  </si>
  <si>
    <t>Revenue per Buyer</t>
  </si>
  <si>
    <t>COGS per Buyer</t>
  </si>
  <si>
    <t>Contribution Margin per Buyer</t>
  </si>
  <si>
    <t>Contribution Margin %</t>
  </si>
  <si>
    <t>Months to Recover CAC (from Contribution)</t>
  </si>
  <si>
    <t>UNIT ECONOMICS HEALTH CHECK</t>
  </si>
  <si>
    <t>LTV &gt; CAC?</t>
  </si>
  <si>
    <t>✓ Yes</t>
  </si>
  <si>
    <t>LTV/CAC &gt; Target?</t>
  </si>
  <si>
    <t>CAC Payback &lt; Target?</t>
  </si>
  <si>
    <t>CAC Payback &lt; 12 months?</t>
  </si>
  <si>
    <t>LTV/CAC &gt; 3x?</t>
  </si>
  <si>
    <t>Gross Margin &gt; 70%?</t>
  </si>
  <si>
    <t>Unit Economics Healthy?</t>
  </si>
  <si>
    <t>✓ Healthy</t>
  </si>
  <si>
    <t>Investment Efficiency Score (0-100)</t>
  </si>
  <si>
    <t>UNIT ECONOMICS SUMMARY</t>
  </si>
  <si>
    <t>Avg LTV (24 months)</t>
  </si>
  <si>
    <t>Avg CAC (24 months)</t>
  </si>
  <si>
    <t>Avg LTV/CAC Ratio</t>
  </si>
  <si>
    <t>Avg Payback (months)</t>
  </si>
  <si>
    <t>Month 24 LTV</t>
  </si>
  <si>
    <t>Month 24 CAC</t>
  </si>
  <si>
    <t>Month 24 LTV/CAC</t>
  </si>
  <si>
    <t>Month 24 Payback</t>
  </si>
  <si>
    <t>Months Meeting All Targets</t>
  </si>
  <si>
    <t>⚠️ LTV calculated as ARPU × Gross Margin × Customer Lifetime. CAC based on actual marketing spend divided by new buyers acquired. Target LTV/CAC ratio is 30×.</t>
  </si>
  <si>
    <t>QUALITY ASSURANCE CHECKS</t>
  </si>
  <si>
    <t>Check Name</t>
  </si>
  <si>
    <t>Expected</t>
  </si>
  <si>
    <t>Actual</t>
  </si>
  <si>
    <t>Match?</t>
  </si>
  <si>
    <t>A. SUMMARY SHEET RECONCILIATION</t>
  </si>
  <si>
    <t>Total Revenue Match</t>
  </si>
  <si>
    <t>Yes</t>
  </si>
  <si>
    <t>✓ PASS</t>
  </si>
  <si>
    <t>Net Income Match</t>
  </si>
  <si>
    <t>Ending Cash Match</t>
  </si>
  <si>
    <t>Final MRR Match</t>
  </si>
  <si>
    <t>Final ARR Match</t>
  </si>
  <si>
    <t>Total Clients Match</t>
  </si>
  <si>
    <t>B. P&amp;L CROSS-SHEET VALIDATION</t>
  </si>
  <si>
    <t>P&amp;L Revenue = Revenue by Niche Total</t>
  </si>
  <si>
    <t>P&amp;L COGS = COGS &amp; Tech Total</t>
  </si>
  <si>
    <t>P&amp;L Payroll = Opex &amp; Headcount Payroll</t>
  </si>
  <si>
    <t>P&amp;L Marketing = Opex &amp; Headcount Marketing</t>
  </si>
  <si>
    <t>No</t>
  </si>
  <si>
    <t>✗ FAIL</t>
  </si>
  <si>
    <t>P&amp;L Total OPEX = Opex &amp; Headcount Total</t>
  </si>
  <si>
    <t>C. CASH FLOW INTEGRITY</t>
  </si>
  <si>
    <t>Cash Flow Net Income = P&amp;L Net Income</t>
  </si>
  <si>
    <t>Ending Cash Formula Check</t>
  </si>
  <si>
    <t>Investment Amount Correct</t>
  </si>
  <si>
    <t>Starting Cash Correct</t>
  </si>
  <si>
    <t>D. FORMULA ERROR DETECTION</t>
  </si>
  <si>
    <t>No #REF! errors in Summary</t>
  </si>
  <si>
    <t>No #VALUE! errors in P&amp;L</t>
  </si>
  <si>
    <t>No #DIV/0! errors in Unit Economics</t>
  </si>
  <si>
    <t>No #N/A errors in Cash Flow</t>
  </si>
  <si>
    <t>E. MONTHLY TOTALS RECONCILIATION</t>
  </si>
  <si>
    <t>Revenue by Niche: Sum(B88:Y88) = Z88</t>
  </si>
  <si>
    <t>P&amp;L: Sum(B26:Y26) = Z26</t>
  </si>
  <si>
    <t>Cash Flow: Sum Net Cash Flow</t>
  </si>
  <si>
    <t>COGS: Sum(B26:Y26) = Z26</t>
  </si>
  <si>
    <t>F. UNIT ECONOMICS VALIDATION</t>
  </si>
  <si>
    <t>CAC References Entry Buyers Only</t>
  </si>
  <si>
    <t>LTV Calculation Correct</t>
  </si>
  <si>
    <t>LTV/CAC &gt; 3</t>
  </si>
  <si>
    <t>Payback &lt; 12 months</t>
  </si>
  <si>
    <t>G. OVERALL MODEL HEALTH SUMMARY</t>
  </si>
  <si>
    <t>Total Checks</t>
  </si>
  <si>
    <t>Checks Passed</t>
  </si>
  <si>
    <t>Checks Failed</t>
  </si>
  <si>
    <t>Pass Rate</t>
  </si>
  <si>
    <t>Overall Status</t>
  </si>
  <si>
    <t>⚠ NEEDS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</si>
</sst>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23579" formatCode="$#,##0"/>
    <numFmt numFmtId="23584" formatCode="$#,##0.00"/>
    <numFmt numFmtId="23586" formatCode="#,##0.0"/>
    <numFmt numFmtId="23587" formatCode="0.0%"/>
    <numFmt numFmtId="23592" formatCode="_(* #,##0.00_);_(* (#,##0.00);_(* &quot;-&quot;??_);_(@_)"/>
    <numFmt numFmtId="26735" formatCode="#,##0.0000"/>
  </numFmts>
  <fonts count="36">
    <font>
      <sz val="11"/>
      <color theme="1"/>
      <name val="Calibri"/>
      <scheme val="minor"/>
    </font>
    <font>
      <b/>
      <i val="0"/>
      <sz val="16"/>
      <color rgb="FFFFFFFF"/>
      <name val="Arial"/>
    </font>
    <font>
      <b val="0"/>
      <i/>
      <sz val="11"/>
      <name val="Arial"/>
    </font>
    <font>
      <b/>
      <i val="0"/>
      <sz val="12"/>
      <color rgb="FFFFFFFF"/>
      <name val="Arial"/>
    </font>
    <font>
      <b val="0"/>
      <i val="0"/>
      <sz val="11"/>
      <name val="Arial"/>
    </font>
    <font>
      <b/>
      <i val="0"/>
      <sz val="11"/>
      <name val="Arial"/>
    </font>
    <font>
      <b/>
      <i val="0"/>
      <sz val="11"/>
      <color rgb="FF008000"/>
      <name val="Arial"/>
    </font>
    <font>
      <name val="Calibri"/>
      <scheme val="minor"/>
    </font>
    <font>
      <b val="0"/>
      <i/>
      <sz val="10"/>
      <name val="Arial"/>
    </font>
    <font>
      <b/>
      <i val="0"/>
      <sz val="12"/>
      <color rgb="FF008000"/>
      <name val="Arial"/>
    </font>
    <font>
      <b/>
      <i val="0"/>
      <sz val="16"/>
      <color rgb="FFFFFFFF"/>
      <name val="Aptos Narrow"/>
    </font>
    <font>
      <b val="0"/>
      <i val="0"/>
      <sz val="12"/>
      <name val="Aptos Narrow"/>
    </font>
    <font>
      <b/>
      <i val="0"/>
      <sz val="11"/>
      <name val="Aptos Narrow"/>
    </font>
    <font>
      <b val="0"/>
      <i/>
      <sz val="11"/>
      <name val="Aptos Narrow"/>
    </font>
    <font>
      <b/>
      <i val="0"/>
      <sz val="14"/>
      <color rgb="FFFFFFFF"/>
      <name val="Aptos Narrow"/>
    </font>
    <font>
      <b val="0"/>
      <i val="0"/>
      <sz val="11"/>
      <color rgb="FFFFFFFF"/>
      <name val="Aptos Narrow"/>
    </font>
    <font>
      <b val="0"/>
      <i/>
      <sz val="10"/>
      <name val="Aptos Narrow"/>
    </font>
    <font>
      <b/>
      <sz val="14"/>
      <color rgb="FFFFFFFF"/>
      <name val="Aptos Narrow"/>
    </font>
    <font>
      <b val="0"/>
      <i val="0"/>
      <sz val="11"/>
      <name val="Aptos Narrow"/>
    </font>
    <font>
      <b/>
      <i val="0"/>
      <sz val="11"/>
      <color rgb="FFFFFFFF"/>
      <name val="Aptos Narrow"/>
    </font>
    <font>
      <b/>
      <sz val="12"/>
      <name val="Aptos Narrow"/>
    </font>
    <font>
      <sz val="11"/>
      <name val="Aptos Narrow"/>
    </font>
    <font>
      <b/>
      <sz val="11"/>
      <name val="Aptos Narrow"/>
    </font>
    <font>
      <b/>
      <sz val="11"/>
      <color rgb="FFFFFFFF"/>
      <name val="Aptos Narrow"/>
    </font>
    <font>
      <i/>
      <sz val="10"/>
      <name val="Aptos Narrow"/>
    </font>
    <font>
      <b/>
      <i val="0"/>
      <sz val="12"/>
      <color rgb="FFFFFFFF"/>
      <name val="Aptos Narrow"/>
    </font>
    <font>
      <b val="0"/>
      <i val="0"/>
      <sz val="10"/>
      <name val="Aptos Narrow"/>
    </font>
    <font>
      <b/>
      <i val="0"/>
      <sz val="10"/>
      <name val="Aptos Narrow"/>
    </font>
    <font>
      <b/>
      <sz val="11"/>
      <color rgb="FFFF0000"/>
      <name val="Aptos Narrow"/>
    </font>
    <font>
      <b/>
      <sz val="12"/>
      <color rgb="FF9C0006"/>
      <name val="Aptos Narrow"/>
    </font>
    <font>
      <i/>
      <sz val="11"/>
      <name val="Aptos Narrow"/>
    </font>
    <font>
      <b/>
      <sz val="12"/>
      <color rgb="FFFFFFFF"/>
      <name val="Aptos Narrow"/>
    </font>
    <font>
      <b val="0"/>
      <i/>
      <sz val="9"/>
      <name val="Aptos Narrow"/>
    </font>
    <font>
      <b/>
      <sz val="11"/>
      <color rgb="FF006100"/>
      <name val="Aptos Narrow"/>
    </font>
    <font>
      <b/>
      <sz val="11"/>
      <color rgb="FF9C0006"/>
      <name val="Aptos Narrow"/>
    </font>
    <font>
      <b/>
      <sz val="14"/>
      <color rgb="FF9C0006"/>
      <name val="Aptos Narrow"/>
    </font>
  </fonts>
  <fills count="41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FFA500"/>
      </patternFill>
    </fill>
    <fill>
      <patternFill patternType="solid">
        <fgColor rgb="FFFFFFCC"/>
      </patternFill>
    </fill>
    <fill>
      <patternFill patternType="solid">
        <fgColor rgb="FFFFF2CC"/>
      </patternFill>
    </fill>
    <fill>
      <patternFill patternType="solid">
        <fgColor rgb="FFFFFF00"/>
      </patternFill>
    </fill>
    <fill>
      <patternFill patternType="solid">
        <fgColor rgb="FFFFFF99"/>
      </patternFill>
    </fill>
    <fill>
      <patternFill patternType="solid">
        <fgColor rgb="FFF0F0F0"/>
      </patternFill>
    </fill>
    <fill>
      <patternFill patternType="solid">
        <fgColor rgb="FF4472C4"/>
      </patternFill>
    </fill>
    <fill>
      <patternFill patternType="solid">
        <fgColor rgb="FFD9D9D9"/>
      </patternFill>
    </fill>
    <fill>
      <patternFill patternType="solid">
        <fgColor rgb="FFD9E1F2"/>
      </patternFill>
    </fill>
    <fill>
      <patternFill patternType="solid">
        <fgColor rgb="FFF2F2F2"/>
      </patternFill>
    </fill>
    <fill>
      <patternFill patternType="solid">
        <fgColor rgb="FFDCEEF3"/>
      </patternFill>
    </fill>
    <fill>
      <patternFill patternType="solid">
        <fgColor rgb="FFD3D3D3"/>
      </patternFill>
    </fill>
    <fill>
      <patternFill patternType="solid">
        <fgColor rgb="FFFFF9C4"/>
      </patternFill>
    </fill>
    <fill>
      <patternFill patternType="solid">
        <fgColor rgb="FFE8F5E9"/>
      </patternFill>
    </fill>
    <fill>
      <patternFill patternType="solid">
        <fgColor rgb="FFE1BEE7"/>
      </patternFill>
    </fill>
    <fill>
      <patternFill patternType="solid">
        <fgColor rgb="FFBBDEFB"/>
      </patternFill>
    </fill>
    <fill>
      <patternFill patternType="solid">
        <fgColor rgb="FFFFE0B2"/>
      </patternFill>
    </fill>
    <fill>
      <patternFill patternType="solid">
        <fgColor rgb="FFF8BBD0"/>
      </patternFill>
    </fill>
    <fill>
      <patternFill patternType="solid">
        <fgColor rgb="FFB2EBF2"/>
      </patternFill>
    </fill>
    <fill>
      <patternFill patternType="solid">
        <fgColor rgb="FF1565C0"/>
      </patternFill>
    </fill>
    <fill>
      <patternFill patternType="solid">
        <fgColor rgb="FFC8E6C9"/>
      </patternFill>
    </fill>
    <fill>
      <patternFill patternType="solid">
        <fgColor rgb="FFF5F5F5"/>
      </patternFill>
    </fill>
    <fill>
      <patternFill patternType="solid">
        <fgColor rgb="FFB4C7E7"/>
      </patternFill>
    </fill>
    <fill>
      <patternFill patternType="solid">
        <fgColor rgb="FFFFFFFF"/>
      </patternFill>
    </fill>
    <fill>
      <patternFill patternType="solid">
        <fgColor rgb="FFFFEB9C"/>
      </patternFill>
    </fill>
    <fill>
      <patternFill patternType="solid">
        <fgColor rgb="FFE3F2FD"/>
      </patternFill>
    </fill>
    <fill>
      <patternFill patternType="solid">
        <fgColor rgb="FFDAEEF3"/>
      </patternFill>
    </fill>
    <fill>
      <patternFill patternType="solid">
        <fgColor rgb="FF1B5E20"/>
      </patternFill>
    </fill>
    <fill>
      <patternFill patternType="solid">
        <fgColor rgb="FFFFEBEE"/>
      </patternFill>
    </fill>
    <fill>
      <patternFill patternType="solid">
        <fgColor rgb="FFFFF3E0"/>
      </patternFill>
    </fill>
    <fill>
      <patternFill patternType="solid">
        <fgColor rgb="FFFFC7CE"/>
      </patternFill>
    </fill>
    <fill>
      <patternFill patternType="solid">
        <fgColor rgb="FFE7E6E6"/>
      </patternFill>
    </fill>
    <fill>
      <patternFill patternType="solid">
        <fgColor rgb="FF203864"/>
      </patternFill>
    </fill>
    <fill>
      <patternFill patternType="solid">
        <fgColor rgb="FFFFE699"/>
      </patternFill>
    </fill>
    <fill>
      <patternFill patternType="solid">
        <fgColor rgb="FFC6E0B4"/>
      </patternFill>
    </fill>
    <fill>
      <patternFill patternType="solid">
        <fgColor rgb="FFDDEBF7"/>
      </patternFill>
    </fill>
    <fill>
      <patternFill patternType="solid">
        <fgColor rgb="FFE2DFED"/>
      </patternFill>
    </fill>
    <fill>
      <patternFill patternType="solid">
        <fgColor rgb="FFC6EFCE"/>
      </patternFill>
    </fill>
  </fills>
  <borders count="14">
    <border>
      <left/>
      <right/>
      <top/>
      <bottom/>
    </border>
    <border>
      <left>
        <color rgb="FF000000"/>
      </left>
      <right>
        <color rgb="FF000000"/>
      </right>
      <top>
        <color rgb="FF000000"/>
      </top>
      <bottom>
        <color rgb="FF000000"/>
      </bottom>
    </border>
    <border>
      <bottom style="medium">
        <color rgb="FF000000"/>
      </bottom>
    </border>
    <border>
      <top style="medium">
        <color rgb="FF000000"/>
      </top>
    </border>
    <border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top style="thick">
        <color rgb="FF000000"/>
      </top>
    </border>
    <border>
      <top style="thick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top style="medium">
        <color rgb="FF000000"/>
      </top>
      <bottom style="double">
        <color rgb="FF000000"/>
      </bottom>
    </border>
    <border>
      <top style="double">
        <color rgb="FF000000"/>
      </top>
      <bottom style="double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numFmtId="0" fontId="0" fillId="0" borderId="1">
      <alignment horizontal="general" vertical="top"/>
    </xf>
  </cellStyleXfs>
  <cellXfs count="204">
    <xf numFmtId="0" fontId="0" fillId="0" borderId="1" xfId="0">
      <alignment vertical="top"/>
    </xf>
    <xf numFmtId="0" fontId="1" fillId="2" borderId="0" xfId="0">
      <alignment horizontal="center" vertical="center"/>
    </xf>
    <xf numFmtId="0" fontId="2" fillId="0" borderId="0" xfId="0">
      <alignment horizontal="center" vertical="center"/>
    </xf>
    <xf numFmtId="0" fontId="3" fillId="2" borderId="0" xfId="0">
      <alignment horizontal="left" vertical="center"/>
    </xf>
    <xf numFmtId="0" fontId="4" fillId="0" borderId="0" xfId="0">
      <alignment horizontal="left" vertical="top"/>
    </xf>
    <xf numFmtId="0" fontId="5" fillId="0" borderId="0" xfId="0">
      <alignment horizontal="right" vertical="top"/>
    </xf>
    <xf numFmtId="49" fontId="5" fillId="0" borderId="0" xfId="0">
      <alignment horizontal="right" vertical="top"/>
    </xf>
    <xf numFmtId="3" fontId="5" fillId="0" borderId="0" xfId="0">
      <alignment horizontal="right" vertical="top"/>
    </xf>
    <xf numFmtId="23579" fontId="5" fillId="0" borderId="0" xfId="0">
      <alignment horizontal="right" vertical="top"/>
    </xf>
    <xf numFmtId="23584" fontId="5" fillId="0" borderId="0" xfId="0">
      <alignment horizontal="right" vertical="top"/>
    </xf>
    <xf numFmtId="23586" fontId="6" fillId="0" borderId="0" xfId="0">
      <alignment horizontal="right" vertical="top"/>
    </xf>
    <xf numFmtId="4" fontId="5" fillId="0" borderId="0" xfId="0">
      <alignment horizontal="right" vertical="top"/>
    </xf>
    <xf numFmtId="23587" fontId="6" fillId="0" borderId="0" xfId="0">
      <alignment horizontal="right" vertical="top"/>
    </xf>
    <xf numFmtId="23587" fontId="5" fillId="0" borderId="0" xfId="0">
      <alignment horizontal="right" vertical="top"/>
    </xf>
    <xf numFmtId="0" fontId="5" fillId="0" borderId="0" xfId="0">
      <alignment horizontal="center" vertical="top"/>
    </xf>
    <xf numFmtId="49" fontId="7" fillId="0" borderId="0" xfId="0">
      <alignment vertical="top"/>
    </xf>
    <xf numFmtId="23592" fontId="7" fillId="0" borderId="0" xfId="0">
      <alignment vertical="top"/>
    </xf>
    <xf numFmtId="10" fontId="7" fillId="0" borderId="0" xfId="0">
      <alignment vertical="top"/>
    </xf>
    <xf numFmtId="0" fontId="5" fillId="0" borderId="0" xfId="0">
      <alignment vertical="top"/>
    </xf>
    <xf numFmtId="0" fontId="8" fillId="0" borderId="0" xfId="0">
      <alignment horizontal="center" vertical="top"/>
    </xf>
    <xf numFmtId="0" fontId="3" fillId="3" borderId="0" xfId="0">
      <alignment horizontal="center" vertical="top"/>
    </xf>
    <xf numFmtId="0" fontId="5" fillId="0" borderId="0" xfId="0">
      <alignment horizontal="left" vertical="top"/>
    </xf>
    <xf numFmtId="0" fontId="6" fillId="0" borderId="0" xfId="0">
      <alignment vertical="top"/>
    </xf>
    <xf numFmtId="0" fontId="9" fillId="0" borderId="0" xfId="0">
      <alignment vertical="top"/>
    </xf>
    <xf numFmtId="0" fontId="8" fillId="4" borderId="0" xfId="0">
      <alignment horizontal="center" vertical="top"/>
    </xf>
    <xf numFmtId="0" fontId="10" fillId="2" borderId="0" xfId="0">
      <alignment horizontal="center" vertical="top"/>
    </xf>
    <xf numFmtId="0" fontId="11" fillId="0" borderId="0" xfId="0">
      <alignment horizontal="center" vertical="top"/>
    </xf>
    <xf numFmtId="0" fontId="12" fillId="5" borderId="2" xfId="0">
      <alignment vertical="top"/>
    </xf>
    <xf numFmtId="0" fontId="12" fillId="0" borderId="0" xfId="0">
      <alignment horizontal="center" vertical="top"/>
    </xf>
    <xf numFmtId="3" fontId="12" fillId="0" borderId="0" xfId="0">
      <alignment horizontal="center" vertical="top"/>
    </xf>
    <xf numFmtId="49" fontId="7" fillId="6" borderId="0" xfId="0">
      <alignment horizontal="left" vertical="top"/>
    </xf>
    <xf numFmtId="23584" fontId="7" fillId="6" borderId="0" xfId="0">
      <alignment vertical="top"/>
    </xf>
    <xf numFmtId="3" fontId="7" fillId="6" borderId="0" xfId="0">
      <alignment vertical="top"/>
    </xf>
    <xf numFmtId="23579" fontId="7" fillId="6" borderId="0" xfId="0">
      <alignment vertical="top"/>
    </xf>
    <xf numFmtId="10" fontId="7" fillId="7" borderId="0" xfId="0">
      <alignment vertical="top"/>
    </xf>
    <xf numFmtId="49" fontId="12" fillId="0" borderId="0" xfId="0">
      <alignment vertical="top"/>
    </xf>
    <xf numFmtId="3" fontId="7" fillId="7" borderId="0" xfId="0">
      <alignment vertical="top"/>
    </xf>
    <xf numFmtId="23587" fontId="7" fillId="0" borderId="0" xfId="0">
      <alignment vertical="top"/>
    </xf>
    <xf numFmtId="23587" fontId="7" fillId="7" borderId="0" xfId="0">
      <alignment vertical="top"/>
    </xf>
    <xf numFmtId="23587" fontId="12" fillId="0" borderId="0" xfId="0">
      <alignment horizontal="center" vertical="top"/>
    </xf>
    <xf numFmtId="3" fontId="7" fillId="0" borderId="0" xfId="0">
      <alignment vertical="top"/>
    </xf>
    <xf numFmtId="23579" fontId="12" fillId="7" borderId="0" xfId="0">
      <alignment horizontal="center" vertical="top"/>
    </xf>
    <xf numFmtId="49" fontId="12" fillId="0" borderId="0" xfId="0">
      <alignment horizontal="center" vertical="top"/>
    </xf>
    <xf numFmtId="23579" fontId="7" fillId="7" borderId="0" xfId="0">
      <alignment vertical="top"/>
    </xf>
    <xf numFmtId="4" fontId="7" fillId="7" borderId="0" xfId="0">
      <alignment vertical="top"/>
    </xf>
    <xf numFmtId="23584" fontId="12" fillId="7" borderId="0" xfId="0">
      <alignment horizontal="center" vertical="top"/>
    </xf>
    <xf numFmtId="23584" fontId="7" fillId="7" borderId="0" xfId="0">
      <alignment vertical="top"/>
    </xf>
    <xf numFmtId="23592" fontId="7" fillId="7" borderId="0" xfId="0">
      <alignment vertical="top"/>
    </xf>
    <xf numFmtId="23579" fontId="7" fillId="0" borderId="0" xfId="0">
      <alignment vertical="top"/>
    </xf>
    <xf numFmtId="0" fontId="13" fillId="8" borderId="0" xfId="0">
      <alignment vertical="top"/>
    </xf>
    <xf numFmtId="0" fontId="14" fillId="2" borderId="0" xfId="0">
      <alignment horizontal="center" vertical="center"/>
    </xf>
    <xf numFmtId="0" fontId="15" fillId="9" borderId="0" xfId="0">
      <alignment horizontal="center" vertical="center"/>
    </xf>
    <xf numFmtId="0" fontId="12" fillId="10" borderId="0" xfId="0">
      <alignment horizontal="center" vertical="center"/>
    </xf>
    <xf numFmtId="0" fontId="12" fillId="11" borderId="0" xfId="0">
      <alignment horizontal="center" vertical="center"/>
    </xf>
    <xf numFmtId="0" fontId="12" fillId="5" borderId="2" xfId="0">
      <alignment horizontal="left" vertical="center"/>
    </xf>
    <xf numFmtId="0" fontId="7" fillId="11" borderId="0" xfId="0">
      <alignment vertical="top"/>
    </xf>
    <xf numFmtId="0" fontId="12" fillId="0" borderId="0" xfId="0">
      <alignment horizontal="left" vertical="top"/>
    </xf>
    <xf numFmtId="3" fontId="7" fillId="0" borderId="0" xfId="0">
      <alignment horizontal="center" vertical="top"/>
    </xf>
    <xf numFmtId="3" fontId="7" fillId="11" borderId="0" xfId="0">
      <alignment horizontal="center" vertical="top"/>
    </xf>
    <xf numFmtId="23587" fontId="7" fillId="0" borderId="0" xfId="0">
      <alignment horizontal="center" vertical="top"/>
    </xf>
    <xf numFmtId="10" fontId="7" fillId="11" borderId="0" xfId="0">
      <alignment horizontal="center" vertical="top"/>
    </xf>
    <xf numFmtId="0" fontId="7" fillId="0" borderId="0" xfId="0">
      <alignment horizontal="center" vertical="top"/>
    </xf>
    <xf numFmtId="0" fontId="7" fillId="11" borderId="0" xfId="0">
      <alignment horizontal="center" vertical="top"/>
    </xf>
    <xf numFmtId="23587" fontId="7" fillId="11" borderId="0" xfId="0">
      <alignment horizontal="center" vertical="top"/>
    </xf>
    <xf numFmtId="23586" fontId="7" fillId="0" borderId="0" xfId="0">
      <alignment horizontal="center" vertical="top"/>
    </xf>
    <xf numFmtId="10" fontId="7" fillId="0" borderId="0" xfId="0">
      <alignment horizontal="center" vertical="top"/>
    </xf>
    <xf numFmtId="23584" fontId="7" fillId="0" borderId="0" xfId="0">
      <alignment horizontal="center" vertical="top"/>
    </xf>
    <xf numFmtId="0" fontId="16" fillId="12" borderId="0" xfId="0">
      <alignment horizontal="left" vertical="top"/>
    </xf>
    <xf numFmtId="0" fontId="17" fillId="2" borderId="0" xfId="0">
      <alignment horizontal="center" vertical="center"/>
    </xf>
    <xf numFmtId="0" fontId="18" fillId="13" borderId="0" xfId="0">
      <alignment horizontal="center" vertical="center"/>
    </xf>
    <xf numFmtId="0" fontId="12" fillId="14" borderId="0" xfId="0">
      <alignment horizontal="center" vertical="center"/>
    </xf>
    <xf numFmtId="0" fontId="12" fillId="15" borderId="2" xfId="0">
      <alignment horizontal="left" vertical="center"/>
    </xf>
    <xf numFmtId="0" fontId="12" fillId="0" borderId="0" xfId="0">
      <alignment horizontal="left" vertical="center"/>
    </xf>
    <xf numFmtId="23579" fontId="7" fillId="11" borderId="0" xfId="0">
      <alignment horizontal="center" vertical="top"/>
    </xf>
    <xf numFmtId="0" fontId="12" fillId="15" borderId="3" xfId="0">
      <alignment horizontal="left" vertical="center"/>
    </xf>
    <xf numFmtId="0" fontId="12" fillId="16" borderId="2" xfId="0">
      <alignment horizontal="left" vertical="center"/>
    </xf>
    <xf numFmtId="0" fontId="12" fillId="16" borderId="3" xfId="0">
      <alignment horizontal="left" vertical="center"/>
    </xf>
    <xf numFmtId="0" fontId="12" fillId="17" borderId="2" xfId="0">
      <alignment horizontal="left" vertical="center"/>
    </xf>
    <xf numFmtId="0" fontId="12" fillId="17" borderId="3" xfId="0">
      <alignment horizontal="left" vertical="center"/>
    </xf>
    <xf numFmtId="0" fontId="12" fillId="18" borderId="2" xfId="0">
      <alignment horizontal="left" vertical="center"/>
    </xf>
    <xf numFmtId="0" fontId="12" fillId="18" borderId="3" xfId="0">
      <alignment horizontal="left" vertical="center"/>
    </xf>
    <xf numFmtId="0" fontId="12" fillId="19" borderId="2" xfId="0">
      <alignment horizontal="left" vertical="center"/>
    </xf>
    <xf numFmtId="0" fontId="12" fillId="19" borderId="3" xfId="0">
      <alignment horizontal="left" vertical="center"/>
    </xf>
    <xf numFmtId="0" fontId="12" fillId="20" borderId="2" xfId="0">
      <alignment horizontal="left" vertical="center"/>
    </xf>
    <xf numFmtId="0" fontId="12" fillId="20" borderId="3" xfId="0">
      <alignment horizontal="left" vertical="center"/>
    </xf>
    <xf numFmtId="0" fontId="12" fillId="21" borderId="2" xfId="0">
      <alignment horizontal="left" vertical="center"/>
    </xf>
    <xf numFmtId="0" fontId="12" fillId="21" borderId="3" xfId="0">
      <alignment horizontal="left" vertical="center"/>
    </xf>
    <xf numFmtId="0" fontId="19" fillId="22" borderId="4" xfId="0">
      <alignment horizontal="center" vertical="center"/>
    </xf>
    <xf numFmtId="0" fontId="20" fillId="23" borderId="5" xfId="0">
      <alignment horizontal="left" vertical="center"/>
    </xf>
    <xf numFmtId="23579" fontId="7" fillId="23" borderId="5" xfId="0">
      <alignment horizontal="center" vertical="top"/>
    </xf>
    <xf numFmtId="0" fontId="16" fillId="24" borderId="0" xfId="0">
      <alignment horizontal="left" vertical="center"/>
    </xf>
    <xf numFmtId="0" fontId="21" fillId="25" borderId="0" xfId="0">
      <alignment horizontal="center" vertical="center"/>
    </xf>
    <xf numFmtId="0" fontId="22" fillId="10" borderId="2" xfId="0">
      <alignment horizontal="center" vertical="center"/>
    </xf>
    <xf numFmtId="0" fontId="7" fillId="0" borderId="6" xfId="0">
      <alignment vertical="top"/>
    </xf>
    <xf numFmtId="0" fontId="22" fillId="5" borderId="7" xfId="0">
      <alignment horizontal="left" vertical="center"/>
    </xf>
    <xf numFmtId="23579" fontId="7" fillId="26" borderId="6" xfId="0">
      <alignment horizontal="right" vertical="top"/>
    </xf>
    <xf numFmtId="0" fontId="22" fillId="0" borderId="0" xfId="0">
      <alignment horizontal="left" vertical="top"/>
    </xf>
    <xf numFmtId="23579" fontId="7" fillId="11" borderId="0" xfId="0">
      <alignment vertical="top"/>
    </xf>
    <xf numFmtId="0" fontId="20" fillId="27" borderId="8" xfId="0">
      <alignment horizontal="left" vertical="top"/>
    </xf>
    <xf numFmtId="23579" fontId="20" fillId="27" borderId="8" xfId="0">
      <alignment vertical="top"/>
    </xf>
    <xf numFmtId="23579" fontId="20" fillId="11" borderId="8" xfId="0">
      <alignment vertical="top"/>
    </xf>
    <xf numFmtId="0" fontId="22" fillId="28" borderId="7" xfId="0">
      <alignment horizontal="left" vertical="center"/>
    </xf>
    <xf numFmtId="0" fontId="20" fillId="29" borderId="8" xfId="0">
      <alignment horizontal="left" vertical="top"/>
    </xf>
    <xf numFmtId="23579" fontId="20" fillId="29" borderId="8" xfId="0">
      <alignment vertical="top"/>
    </xf>
    <xf numFmtId="0" fontId="23" fillId="30" borderId="7" xfId="0">
      <alignment horizontal="left" vertical="center"/>
    </xf>
    <xf numFmtId="0" fontId="20" fillId="23" borderId="0" xfId="0">
      <alignment horizontal="left" vertical="top"/>
    </xf>
    <xf numFmtId="23579" fontId="20" fillId="23" borderId="8" xfId="0">
      <alignment vertical="top"/>
    </xf>
    <xf numFmtId="0" fontId="22" fillId="19" borderId="7" xfId="0">
      <alignment horizontal="left" vertical="center"/>
    </xf>
    <xf numFmtId="23579" fontId="22" fillId="0" borderId="0" xfId="0">
      <alignment vertical="top"/>
    </xf>
    <xf numFmtId="23579" fontId="22" fillId="11" borderId="0" xfId="0">
      <alignment vertical="top"/>
    </xf>
    <xf numFmtId="0" fontId="22" fillId="16" borderId="0" xfId="0">
      <alignment horizontal="left" vertical="top"/>
    </xf>
    <xf numFmtId="23587" fontId="22" fillId="16" borderId="0" xfId="0">
      <alignment vertical="top"/>
    </xf>
    <xf numFmtId="23587" fontId="22" fillId="11" borderId="0" xfId="0">
      <alignment vertical="top"/>
    </xf>
    <xf numFmtId="23584" fontId="7" fillId="0" borderId="0" xfId="0">
      <alignment vertical="top"/>
    </xf>
    <xf numFmtId="26735" fontId="7" fillId="0" borderId="0" xfId="0">
      <alignment vertical="top"/>
    </xf>
    <xf numFmtId="26735" fontId="7" fillId="11" borderId="0" xfId="0">
      <alignment vertical="top"/>
    </xf>
    <xf numFmtId="10" fontId="7" fillId="11" borderId="0" xfId="0">
      <alignment vertical="top"/>
    </xf>
    <xf numFmtId="0" fontId="22" fillId="17" borderId="7" xfId="0">
      <alignment horizontal="left" vertical="center"/>
    </xf>
    <xf numFmtId="9" fontId="7" fillId="0" borderId="0" xfId="0">
      <alignment vertical="top"/>
    </xf>
    <xf numFmtId="23587" fontId="7" fillId="11" borderId="0" xfId="0">
      <alignment vertical="top"/>
    </xf>
    <xf numFmtId="49" fontId="7" fillId="11" borderId="0" xfId="0">
      <alignment vertical="top"/>
    </xf>
    <xf numFmtId="0" fontId="24" fillId="12" borderId="0" xfId="0">
      <alignment horizontal="left" vertical="top"/>
    </xf>
    <xf numFmtId="0" fontId="25" fillId="2" borderId="0" xfId="0">
      <alignment horizontal="center" vertical="top"/>
    </xf>
    <xf numFmtId="0" fontId="22" fillId="15" borderId="7" xfId="0">
      <alignment horizontal="left" vertical="center"/>
    </xf>
    <xf numFmtId="0" fontId="12" fillId="11" borderId="0" xfId="0">
      <alignment vertical="top"/>
    </xf>
    <xf numFmtId="23579" fontId="12" fillId="0" borderId="0" xfId="0">
      <alignment vertical="top"/>
    </xf>
    <xf numFmtId="0" fontId="20" fillId="27" borderId="8" xfId="0">
      <alignment vertical="top"/>
    </xf>
    <xf numFmtId="23579" fontId="20" fillId="27" borderId="9" xfId="0">
      <alignment vertical="top"/>
    </xf>
    <xf numFmtId="0" fontId="19" fillId="9" borderId="0" xfId="0">
      <alignment vertical="top"/>
    </xf>
    <xf numFmtId="0" fontId="22" fillId="16" borderId="7" xfId="0">
      <alignment horizontal="left" vertical="center"/>
    </xf>
    <xf numFmtId="0" fontId="12" fillId="0" borderId="10" xfId="0">
      <alignment vertical="top"/>
    </xf>
    <xf numFmtId="23579" fontId="12" fillId="0" borderId="10" xfId="0">
      <alignment vertical="top"/>
    </xf>
    <xf numFmtId="0" fontId="20" fillId="16" borderId="8" xfId="0">
      <alignment vertical="top"/>
    </xf>
    <xf numFmtId="23579" fontId="20" fillId="16" borderId="8" xfId="0">
      <alignment vertical="top"/>
    </xf>
    <xf numFmtId="0" fontId="20" fillId="23" borderId="8" xfId="0">
      <alignment vertical="top"/>
    </xf>
    <xf numFmtId="23584" fontId="20" fillId="23" borderId="9" xfId="0">
      <alignment vertical="top"/>
    </xf>
    <xf numFmtId="4" fontId="7" fillId="0" borderId="0" xfId="0">
      <alignment vertical="top"/>
    </xf>
    <xf numFmtId="0" fontId="22" fillId="18" borderId="7" xfId="0">
      <alignment horizontal="left" vertical="center"/>
    </xf>
    <xf numFmtId="3" fontId="7" fillId="11" borderId="0" xfId="0">
      <alignment vertical="top"/>
    </xf>
    <xf numFmtId="0" fontId="24" fillId="8" borderId="0" xfId="0">
      <alignment horizontal="left" vertical="top"/>
    </xf>
    <xf numFmtId="0" fontId="22" fillId="8" borderId="0" xfId="0">
      <alignment horizontal="center" vertical="center"/>
    </xf>
    <xf numFmtId="0" fontId="22" fillId="11" borderId="0" xfId="0">
      <alignment horizontal="center" vertical="center"/>
    </xf>
    <xf numFmtId="0" fontId="19" fillId="2" borderId="2" xfId="0">
      <alignment horizontal="center" vertical="top"/>
    </xf>
    <xf numFmtId="0" fontId="22" fillId="16" borderId="2" xfId="0">
      <alignment horizontal="left" vertical="top"/>
    </xf>
    <xf numFmtId="49" fontId="26" fillId="0" borderId="0" xfId="0">
      <alignment vertical="top"/>
    </xf>
    <xf numFmtId="23579" fontId="27" fillId="12" borderId="0" xfId="0">
      <alignment vertical="top"/>
    </xf>
    <xf numFmtId="49" fontId="7" fillId="0" borderId="0" xfId="0">
      <alignment horizontal="left" vertical="top" indent="1"/>
    </xf>
    <xf numFmtId="23579" fontId="7" fillId="0" borderId="0" xfId="0">
      <alignment horizontal="center" vertical="top"/>
    </xf>
    <xf numFmtId="49" fontId="22" fillId="0" borderId="0" xfId="0">
      <alignment vertical="top"/>
    </xf>
    <xf numFmtId="23579" fontId="22" fillId="0" borderId="0" xfId="0">
      <alignment horizontal="center" vertical="top"/>
    </xf>
    <xf numFmtId="23579" fontId="22" fillId="11" borderId="0" xfId="0">
      <alignment horizontal="center" vertical="top"/>
    </xf>
    <xf numFmtId="0" fontId="22" fillId="31" borderId="2" xfId="0">
      <alignment horizontal="left" vertical="top"/>
    </xf>
    <xf numFmtId="23587" fontId="27" fillId="12" borderId="0" xfId="0">
      <alignment vertical="top"/>
    </xf>
    <xf numFmtId="49" fontId="22" fillId="16" borderId="11" xfId="0">
      <alignment vertical="top"/>
    </xf>
    <xf numFmtId="23579" fontId="22" fillId="16" borderId="11" xfId="0">
      <alignment horizontal="center" vertical="top"/>
    </xf>
    <xf numFmtId="49" fontId="22" fillId="16" borderId="0" xfId="0">
      <alignment vertical="top"/>
    </xf>
    <xf numFmtId="23587" fontId="22" fillId="16" borderId="0" xfId="0">
      <alignment horizontal="center" vertical="top"/>
    </xf>
    <xf numFmtId="23587" fontId="22" fillId="11" borderId="0" xfId="0">
      <alignment horizontal="center" vertical="top"/>
    </xf>
    <xf numFmtId="0" fontId="22" fillId="32" borderId="2" xfId="0">
      <alignment horizontal="left" vertical="top"/>
    </xf>
    <xf numFmtId="49" fontId="22" fillId="15" borderId="11" xfId="0">
      <alignment vertical="top"/>
    </xf>
    <xf numFmtId="23579" fontId="28" fillId="15" borderId="11" xfId="0">
      <alignment horizontal="center" vertical="top"/>
    </xf>
    <xf numFmtId="49" fontId="22" fillId="15" borderId="0" xfId="0">
      <alignment vertical="top"/>
    </xf>
    <xf numFmtId="23587" fontId="22" fillId="15" borderId="0" xfId="0">
      <alignment horizontal="center" vertical="top"/>
    </xf>
    <xf numFmtId="49" fontId="20" fillId="28" borderId="12" xfId="0">
      <alignment vertical="top"/>
    </xf>
    <xf numFmtId="23579" fontId="29" fillId="33" borderId="12" xfId="0">
      <alignment horizontal="center" vertical="top"/>
    </xf>
    <xf numFmtId="23579" fontId="20" fillId="11" borderId="0" xfId="0">
      <alignment horizontal="center" vertical="top"/>
    </xf>
    <xf numFmtId="49" fontId="22" fillId="28" borderId="0" xfId="0">
      <alignment vertical="top"/>
    </xf>
    <xf numFmtId="23587" fontId="22" fillId="28" borderId="0" xfId="0">
      <alignment horizontal="center" vertical="top"/>
    </xf>
    <xf numFmtId="0" fontId="22" fillId="17" borderId="2" xfId="0">
      <alignment horizontal="left" vertical="top"/>
    </xf>
    <xf numFmtId="23592" fontId="7" fillId="0" borderId="0" xfId="0">
      <alignment horizontal="center" vertical="top"/>
    </xf>
    <xf numFmtId="26735" fontId="7" fillId="0" borderId="0" xfId="0">
      <alignment horizontal="center" vertical="top"/>
    </xf>
    <xf numFmtId="0" fontId="22" fillId="21" borderId="2" xfId="0">
      <alignment horizontal="left" vertical="top"/>
    </xf>
    <xf numFmtId="0" fontId="7" fillId="0" borderId="0" xfId="0">
      <alignment horizontal="center" vertical="top"/>
    </xf>
    <xf numFmtId="0" fontId="24" fillId="24" borderId="0" xfId="0">
      <alignment vertical="top"/>
    </xf>
    <xf numFmtId="0" fontId="30" fillId="11" borderId="0" xfId="0">
      <alignment horizontal="center" vertical="top"/>
    </xf>
    <xf numFmtId="0" fontId="23" fillId="9" borderId="0" xfId="0">
      <alignment horizontal="center" vertical="top"/>
    </xf>
    <xf numFmtId="0" fontId="31" fillId="9" borderId="0" xfId="0">
      <alignment horizontal="center" vertical="top"/>
    </xf>
    <xf numFmtId="0" fontId="31" fillId="2" borderId="0" xfId="0">
      <alignment horizontal="left" vertical="top"/>
    </xf>
    <xf numFmtId="0" fontId="21" fillId="12" borderId="0" xfId="0">
      <alignment horizontal="left" vertical="top"/>
    </xf>
    <xf numFmtId="23579" fontId="22" fillId="8" borderId="13" xfId="0">
      <alignment vertical="top"/>
    </xf>
    <xf numFmtId="23586" fontId="7" fillId="0" borderId="0" xfId="0">
      <alignment vertical="top"/>
    </xf>
    <xf numFmtId="0" fontId="12" fillId="11" borderId="0" xfId="0">
      <alignment horizontal="center" vertical="top"/>
    </xf>
    <xf numFmtId="0" fontId="12" fillId="34" borderId="0" xfId="0">
      <alignment horizontal="center" vertical="top"/>
    </xf>
    <xf numFmtId="0" fontId="19" fillId="35" borderId="0" xfId="0">
      <alignment horizontal="center" vertical="top"/>
    </xf>
    <xf numFmtId="0" fontId="12" fillId="36" borderId="0" xfId="0">
      <alignment horizontal="left" vertical="top"/>
    </xf>
    <xf numFmtId="0" fontId="7" fillId="34" borderId="0" xfId="0">
      <alignment horizontal="center" vertical="top"/>
    </xf>
    <xf numFmtId="0" fontId="7" fillId="0" borderId="0" xfId="0">
      <alignment horizontal="left" vertical="top"/>
    </xf>
    <xf numFmtId="0" fontId="27" fillId="0" borderId="0" xfId="0">
      <alignment horizontal="left" vertical="top"/>
    </xf>
    <xf numFmtId="23579" fontId="7" fillId="34" borderId="0" xfId="0">
      <alignment horizontal="center" vertical="top"/>
    </xf>
    <xf numFmtId="23584" fontId="7" fillId="34" borderId="0" xfId="0">
      <alignment horizontal="center" vertical="top"/>
    </xf>
    <xf numFmtId="0" fontId="12" fillId="37" borderId="0" xfId="0">
      <alignment horizontal="left" vertical="top"/>
    </xf>
    <xf numFmtId="23587" fontId="7" fillId="34" borderId="0" xfId="0">
      <alignment horizontal="center" vertical="top"/>
    </xf>
    <xf numFmtId="0" fontId="12" fillId="38" borderId="0" xfId="0">
      <alignment horizontal="left" vertical="top"/>
    </xf>
    <xf numFmtId="23587" fontId="7" fillId="5" borderId="0" xfId="0">
      <alignment vertical="top"/>
    </xf>
    <xf numFmtId="23586" fontId="7" fillId="34" borderId="0" xfId="0">
      <alignment horizontal="center" vertical="top"/>
    </xf>
    <xf numFmtId="0" fontId="12" fillId="39" borderId="0" xfId="0">
      <alignment horizontal="left" vertical="top"/>
    </xf>
    <xf numFmtId="0" fontId="12" fillId="5" borderId="0" xfId="0">
      <alignment horizontal="left" vertical="top"/>
    </xf>
    <xf numFmtId="0" fontId="25" fillId="2" borderId="0" xfId="0">
      <alignment horizontal="center" vertical="center"/>
    </xf>
    <xf numFmtId="0" fontId="32" fillId="12" borderId="0" xfId="0">
      <alignment horizontal="left" vertical="top"/>
    </xf>
    <xf numFmtId="0" fontId="17" fillId="2" borderId="0" xfId="0">
      <alignment horizontal="center" vertical="top"/>
    </xf>
    <xf numFmtId="0" fontId="31" fillId="9" borderId="0" xfId="0">
      <alignment vertical="top"/>
    </xf>
    <xf numFmtId="0" fontId="33" fillId="40" borderId="0" xfId="0">
      <alignment vertical="top"/>
    </xf>
    <xf numFmtId="0" fontId="34" fillId="33" borderId="0" xfId="0">
      <alignment vertical="top"/>
    </xf>
    <xf numFmtId="3" fontId="35" fillId="33" borderId="0" xfId="0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styles" Target="styles.xml"/><Relationship Id="rId12" Type="http://schemas.openxmlformats.org/officeDocument/2006/relationships/theme" Target="theme/theme1.xml"/><Relationship Id="rId13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Ending Cash Balance Over 24 Months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lineChart chartType="8">
        <c:ser seriesType="2">
          <c:idx val="0"/>
          <c:order val="0"/>
          <c:tx>
            <c:strRef>
              <c:f>'Cash Flow &amp; Runway'!$A$18</c:f>
            </c:strRef>
          </c:tx>
          <c:spPr>
            <a:solidFill>
              <a:schemeClr val="accent1"/>
            </a:solidFill>
            <a:ln w="19050"/>
          </c:spPr>
          <c:cat>
            <c:strRef>
              <c:f>'Cash Flow &amp; Runway'!$B$4:$Z$4</c:f>
            </c:strRef>
          </c:cat>
          <c:val>
            <c:numRef>
              <c:f>'Cash Flow &amp; Runway'!$B$18:$Z$18</c:f>
              <c:numCache>
                <c:formatCode>$#,##0</c:formatCode>
              </c:numCache>
            </c:numRef>
          </c:val>
          <c:extLst/>
          <c:smooth val="0"/>
          <c:marker>
            <c:symbol val="none"/>
          </c:marker>
        </c:ser>
        <c:axId val="88240398"/>
        <c:axId val="12998063"/>
        <c:grouping val="standard"/>
        <c:varyColors val="0"/>
        <c:smooth val="0"/>
        <c:marker val="0"/>
      </c:lineChart>
      <c:catAx axisType="0">
        <c:axId val="88240398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12998063"/>
      </c:catAx>
      <c:valAx axisType="3">
        <c:axId val="12998063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$#,##0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majorGridlines>
          <c:spPr>
            <a:ln w="9525">
              <a:solidFill>
                <a:srgbClr val="d8d9d8"/>
              </a:solidFill>
            </a:ln>
          </c:spPr>
        </c:majorGridlines>
        <c:crosses val="autoZero"/>
        <c:crossBetween val="between"/>
        <c:crossAx val="88240398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2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Monthly Burn Rate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barChart chartType="6">
        <c:ser seriesType="0">
          <c:idx val="0"/>
          <c:order val="0"/>
          <c:tx>
            <c:strRef>
              <c:f>'Cash Flow &amp; Runway'!$A$19</c:f>
            </c:strRef>
          </c:tx>
          <c:spPr>
            <a:solidFill>
              <a:schemeClr val="accent1"/>
            </a:solidFill>
          </c:spPr>
          <c:cat>
            <c:strRef>
              <c:f>'Cash Flow &amp; Runway'!$B$4:$Z$4</c:f>
            </c:strRef>
          </c:cat>
          <c:val>
            <c:numRef>
              <c:f>'Cash Flow &amp; Runway'!$B$19:$Z$19</c:f>
              <c:numCache>
                <c:formatCode>$#,##0</c:formatCode>
              </c:numCache>
            </c:numRef>
          </c:val>
          <c:dLbls>
            <c:spPr>
              <a:noFill/>
              <a:ln>
                <a:noFill/>
              </a:ln>
            </c:spPr>
            <c:dLblPos val="outEnd"/>
            <c:showLeaderLines val="0"/>
            <c:showBubbleSize val="0"/>
            <c:showLegendKey val="0"/>
            <c:showPercent val="0"/>
            <c:showCatName val="0"/>
            <c:showSerName val="0"/>
            <c:showVal val="1"/>
            <c:separator>, 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/>
          <c:invertIfNegative val="0"/>
        </c:ser>
        <c:axId val="99846364"/>
        <c:axId val="13385387"/>
        <c:barDir val="col"/>
        <c:grouping val="clustered"/>
        <c:gapWidth val="150"/>
        <c:varyColors val="0"/>
        <c:overlap val="-27"/>
      </c:barChart>
      <c:catAx axisType="0">
        <c:axId val="99846364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13385387"/>
      </c:catAx>
      <c:valAx axisType="3">
        <c:axId val="13385387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$#,##0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majorGridlines>
          <c:spPr>
            <a:ln w="9525">
              <a:solidFill>
                <a:srgbClr val="d8d9d8"/>
              </a:solidFill>
            </a:ln>
          </c:spPr>
        </c:majorGridlines>
        <c:crosses val="autoZero"/>
        <c:crossBetween val="between"/>
        <c:crossAx val="99846364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3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Lifetime Value vs Customer Acquisition Cost (24 Months)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lineChart chartType="8">
        <c:ser seriesType="2">
          <c:idx val="0"/>
          <c:order val="0"/>
          <c:tx>
            <c:strRef>
              <c:f>'Unit Economics'!$A$10</c:f>
            </c:strRef>
          </c:tx>
          <c:spPr>
            <a:solidFill>
              <a:schemeClr val="accent1"/>
            </a:solidFill>
            <a:ln w="19050"/>
          </c:spPr>
          <c:cat>
            <c:strRef>
              <c:f>'Unit Economics'!$B$4:$Y$4</c:f>
            </c:strRef>
          </c:cat>
          <c:val>
            <c:numRef>
              <c:f>'Unit Economics'!$B$10:$Y$10</c:f>
              <c:numCache>
                <c:formatCode>General</c:formatCode>
              </c:numCache>
            </c:numRef>
          </c:val>
          <c:extLst/>
          <c:smooth val="0"/>
          <c:marker>
            <c:symbol val="none"/>
          </c:marker>
        </c:ser>
        <c:ser seriesType="2">
          <c:idx val="1"/>
          <c:order val="1"/>
          <c:tx>
            <c:strRef>
              <c:f>'Unit Economics'!$A$18</c:f>
            </c:strRef>
          </c:tx>
          <c:spPr>
            <a:solidFill>
              <a:schemeClr val="accent2"/>
            </a:solidFill>
            <a:ln w="19050"/>
          </c:spPr>
          <c:cat>
            <c:strRef>
              <c:f>'Unit Economics'!$B$4:$Y$4</c:f>
            </c:strRef>
          </c:cat>
          <c:val>
            <c:numRef>
              <c:f>'Unit Economics'!$B$18:$Y$18</c:f>
              <c:numCache>
                <c:formatCode>0.0%</c:formatCode>
              </c:numCache>
            </c:numRef>
          </c:val>
          <c:extLst/>
          <c:smooth val="0"/>
          <c:marker>
            <c:symbol val="none"/>
          </c:marker>
        </c:ser>
        <c:axId val="74329974"/>
        <c:axId val="15999754"/>
        <c:grouping val="standard"/>
        <c:varyColors val="0"/>
        <c:smooth val="0"/>
        <c:marker val="0"/>
      </c:lineChart>
      <c:catAx axisType="0">
        <c:axId val="74329974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15999754"/>
      </c:catAx>
      <c:valAx axisType="3">
        <c:axId val="15999754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$#,##0.00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majorGridlines>
          <c:spPr>
            <a:ln w="9525">
              <a:solidFill>
                <a:srgbClr val="d8d9d8"/>
              </a:solidFill>
            </a:ln>
          </c:spPr>
        </c:majorGridlines>
        <c:crosses val="autoZero"/>
        <c:crossBetween val="between"/>
        <c:crossAx val="74329974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4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LTV/CAC Ratio &amp; Payback Period Over Time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lineChart chartType="8">
        <c:ser seriesType="2">
          <c:idx val="0"/>
          <c:order val="0"/>
          <c:tx>
            <c:strRef>
              <c:f>'Unit Economics'!$A$21</c:f>
            </c:strRef>
          </c:tx>
          <c:spPr>
            <a:solidFill>
              <a:schemeClr val="accent1"/>
            </a:solidFill>
            <a:ln w="19050"/>
          </c:spPr>
          <c:cat>
            <c:strRef>
              <c:f>'Unit Economics'!$B$4:$Y$4</c:f>
            </c:strRef>
          </c:cat>
          <c:val>
            <c:numRef>
              <c:f>'Unit Economics'!$B$21:$Y$21</c:f>
              <c:numCache>
                <c:formatCode>0.0%</c:formatCode>
              </c:numCache>
            </c:numRef>
          </c:val>
          <c:extLst/>
          <c:smooth val="0"/>
          <c:marker>
            <c:symbol val="none"/>
          </c:marker>
        </c:ser>
        <c:ser seriesType="2">
          <c:idx val="1"/>
          <c:order val="1"/>
          <c:tx>
            <c:strRef>
              <c:f>'Unit Economics'!$A$30</c:f>
            </c:strRef>
          </c:tx>
          <c:spPr>
            <a:solidFill>
              <a:schemeClr val="accent2"/>
            </a:solidFill>
            <a:ln w="19050"/>
          </c:spPr>
          <c:cat>
            <c:strRef>
              <c:f>'Unit Economics'!$B$4:$Y$4</c:f>
            </c:strRef>
          </c:cat>
          <c:val>
            <c:numRef>
              <c:f>'Unit Economics'!$B$30:$Y$30</c:f>
              <c:numCache>
                <c:formatCode>#,##0.0</c:formatCode>
              </c:numCache>
            </c:numRef>
          </c:val>
          <c:extLst/>
          <c:smooth val="0"/>
          <c:marker>
            <c:symbol val="none"/>
          </c:marker>
        </c:ser>
        <c:axId val="85821332"/>
        <c:axId val="17571627"/>
        <c:grouping val="standard"/>
        <c:varyColors val="0"/>
        <c:smooth val="0"/>
        <c:marker val="0"/>
      </c:lineChart>
      <c:catAx axisType="0">
        <c:axId val="85821332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17571627"/>
      </c:catAx>
      <c:valAx axisType="3">
        <c:axId val="17571627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numFmt formatCode="0.0%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majorGridlines>
          <c:spPr>
            <a:ln w="9525">
              <a:solidFill>
                <a:srgbClr val="d8d9d8"/>
              </a:solidFill>
            </a:ln>
          </c:spPr>
        </c:majorGridlines>
        <c:crosses val="autoZero"/>
        <c:crossBetween val="between"/>
        <c:crossAx val="85821332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2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3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4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28</xdr:row>
      <xdr:rowOff>19050</xdr:rowOff>
    </xdr:from>
    <xdr:to>
      <xdr:col>10</xdr:col>
      <xdr:colOff>95250</xdr:colOff>
      <xdr:row>42</xdr:row>
      <xdr:rowOff>95250</xdr:rowOff>
    </xdr:to>
    <xdr:graphicFrame>
      <xdr:nvGraphicFramePr>
        <xdr:cNvPr id="2" name="CashFlowChart"/>
        <xdr:cNvGraphicFramePr>
          <a:graphicFrameLocks noChangeAspect="0"/>
        </xdr:cNvGraphicFramePr>
      </xdr:nvGraphicFramePr>
      <xdr:xfrm>
        <a:off x="3429000" y="5524500"/>
        <a:ext cx="7620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43</xdr:row>
      <xdr:rowOff>19050</xdr:rowOff>
    </xdr:from>
    <xdr:to>
      <xdr:col>8</xdr:col>
      <xdr:colOff>95250</xdr:colOff>
      <xdr:row>57</xdr:row>
      <xdr:rowOff>95250</xdr:rowOff>
    </xdr:to>
    <xdr:graphicFrame>
      <xdr:nvGraphicFramePr>
        <xdr:cNvPr id="3" name="BurnRateChart"/>
        <xdr:cNvGraphicFramePr>
          <a:graphicFrameLocks noChangeAspect="0"/>
        </xdr:cNvGraphicFramePr>
      </xdr:nvGraphicFramePr>
      <xdr:xfrm>
        <a:off x="0" y="8382000"/>
        <a:ext cx="9144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152400</xdr:rowOff>
    </xdr:from>
    <xdr:to>
      <xdr:col>5</xdr:col>
      <xdr:colOff>762000</xdr:colOff>
      <xdr:row>61</xdr:row>
      <xdr:rowOff>38100</xdr:rowOff>
    </xdr:to>
    <xdr:graphicFrame>
      <xdr:nvGraphicFramePr>
        <xdr:cNvPr id="2" name="LTV_CAC_Chart"/>
        <xdr:cNvGraphicFramePr>
          <a:graphicFrameLocks noChangeAspect="0"/>
        </xdr:cNvGraphicFramePr>
      </xdr:nvGraphicFramePr>
      <xdr:xfrm>
        <a:off x="0" y="9039225"/>
        <a:ext cx="6858000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46</xdr:row>
      <xdr:rowOff>152400</xdr:rowOff>
    </xdr:from>
    <xdr:to>
      <xdr:col>13</xdr:col>
      <xdr:colOff>762000</xdr:colOff>
      <xdr:row>61</xdr:row>
      <xdr:rowOff>38100</xdr:rowOff>
    </xdr:to>
    <xdr:graphicFrame>
      <xdr:nvGraphicFramePr>
        <xdr:cNvPr id="3" name="Ratios_Chart"/>
        <xdr:cNvGraphicFramePr>
          <a:graphicFrameLocks noChangeAspect="0"/>
        </xdr:cNvGraphicFramePr>
      </xdr:nvGraphicFramePr>
      <xdr:xfrm>
        <a:off x="6905625" y="9039225"/>
        <a:ext cx="6429375" cy="2724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56B"/>
      </a:dk2>
      <a:lt2>
        <a:srgbClr val="E7E7E7"/>
      </a:lt2>
      <a:accent1>
        <a:srgbClr val="5B9AD4"/>
      </a:accent1>
      <a:accent2>
        <a:srgbClr val="EC7D30"/>
      </a:accent2>
      <a:accent3>
        <a:srgbClr val="A5A5A5"/>
      </a:accent3>
      <a:accent4>
        <a:srgbClr val="FEC100"/>
      </a:accent4>
      <a:accent5>
        <a:srgbClr val="4573C4"/>
      </a:accent5>
      <a:accent6>
        <a:srgbClr val="71AD46"/>
      </a:accent6>
      <a:hlink>
        <a:srgbClr val="0462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75958C4-EE88-8848-CC18-71892981EDA2}" mc:Ignorable="x14ac xr xr2 xr3">
  <dimension ref="A1:GR1000"/>
  <sheetViews>
    <sheetView topLeftCell="A1" workbookViewId="0" tabSelected="1">
      <selection activeCell="B18" sqref="B18"/>
    </sheetView>
  </sheetViews>
  <sheetFormatPr defaultRowHeight="15" defaultColWidth="8.8515625" customHeight="1"/>
  <cols>
    <col min="1" max="1" width="40.00390625" customWidth="1"/>
    <col min="2" max="2" width="25.7109375" customWidth="1"/>
    <col min="3" max="3" width="42.32421875" customWidth="1"/>
    <col min="4" max="4" width="28.57421875" customWidth="1"/>
  </cols>
  <sheetData>
    <row r="1" ht="20.25" customHeight="1">
      <c r="A1" s="1" t="s">
        <v>0</v>
      </c>
    </row>
    <row r="2" ht="15" customHeight="1">
      <c r="A2" s="2" t="s">
        <v>1</v>
      </c>
    </row>
    <row r="4" ht="15.75" customHeight="1">
      <c r="A4" s="3" t="s">
        <v>2</v>
      </c>
    </row>
    <row r="5" ht="15" customHeight="1">
      <c r="A5" s="4" t="s">
        <v>3</v>
      </c>
      <c r="B5" s="5" t="s">
        <v>4</v>
      </c>
      <c r="C5" s="4" t="s">
        <v>5</v>
      </c>
    </row>
    <row r="6" ht="15" customHeight="1">
      <c r="A6" s="4" t="s">
        <v>6</v>
      </c>
      <c r="B6" s="5" t="s">
        <v>7</v>
      </c>
      <c r="C6" s="4" t="s">
        <v>8</v>
      </c>
    </row>
    <row r="7" ht="15" customHeight="1">
      <c r="A7" s="4" t="s">
        <v>9</v>
      </c>
      <c r="B7" s="6" t="s">
        <v>10</v>
      </c>
      <c r="C7" s="4" t="s">
        <v>11</v>
      </c>
    </row>
    <row r="8" ht="15" customHeight="1">
      <c r="A8" s="4" t="s">
        <v>12</v>
      </c>
      <c r="B8" s="7">
        <f>'P&amp;L'!B40</f>
        <v>1</v>
      </c>
      <c r="C8" s="4" t="s">
        <v>13</v>
      </c>
    </row>
    <row r="9" ht="15" customHeight="1">
      <c r="A9" s="4" t="s">
        <v>14</v>
      </c>
      <c r="B9" s="5" t="s">
        <v>15</v>
      </c>
      <c r="C9" s="4" t="s">
        <v>16</v>
      </c>
    </row>
    <row r="10" ht="15" customHeight="1">
      <c r="A10" s="4" t="s">
        <v>17</v>
      </c>
      <c r="B10" s="8">
        <f>'Revenue by Niche'!Z88</f>
        <v>3179851.754184</v>
      </c>
      <c r="C10" s="4"/>
    </row>
    <row r="11" ht="15" customHeight="1">
      <c r="A11" s="4" t="s">
        <v>18</v>
      </c>
      <c r="B11" s="8">
        <f>'P&amp;L'!Z26</f>
        <v>2260605.0787656</v>
      </c>
      <c r="C11" s="4"/>
    </row>
    <row r="12" ht="15" customHeight="1">
      <c r="A12" s="4" t="s">
        <v>19</v>
      </c>
      <c r="B12" s="8">
        <f>'Cash Flow &amp; Runway'!Z18</f>
        <v>3260705.0787656</v>
      </c>
      <c r="C12" s="4"/>
    </row>
    <row r="13" ht="15" customHeight="1">
      <c r="A13" s="4" t="s">
        <v>20</v>
      </c>
      <c r="B13" s="8">
        <f>'Revenue by Niche'!Y88</f>
        <v>213739.63128</v>
      </c>
      <c r="C13" s="4" t="s">
        <v>21</v>
      </c>
    </row>
    <row r="14" ht="15" customHeight="1">
      <c r="A14" s="4" t="s">
        <v>22</v>
      </c>
      <c r="B14" s="8">
        <f>'Revenue by Niche'!Y89</f>
        <v>2564875.57536</v>
      </c>
      <c r="C14" s="4" t="s">
        <v>23</v>
      </c>
    </row>
    <row r="15" ht="15" customHeight="1">
      <c r="A15" s="4" t="s">
        <v>24</v>
      </c>
      <c r="B15" s="7">
        <f>'Accounts &amp; Traffic'!Y14</f>
        <v>1200</v>
      </c>
      <c r="C15" s="4">
        <v>369.5</v>
      </c>
    </row>
    <row r="17" ht="15.75" customHeight="1">
      <c r="A17" s="3" t="s">
        <v>25</v>
      </c>
    </row>
    <row r="18" ht="15" customHeight="1">
      <c r="A18" s="4" t="s">
        <v>26</v>
      </c>
      <c r="B18" s="9">
        <v>199.068453019723</v>
      </c>
      <c r="C18" s="4" t="s">
        <v>27</v>
      </c>
    </row>
    <row r="19" ht="15" customHeight="1">
      <c r="A19" s="4" t="s">
        <v>28</v>
      </c>
      <c r="B19" s="9">
        <f>'Unit Economics'!Z18</f>
        <v>430.188785068884</v>
      </c>
      <c r="C19" s="4"/>
    </row>
    <row r="20" ht="15" customHeight="1">
      <c r="A20" s="4" t="s">
        <v>29</v>
      </c>
      <c r="B20" s="10">
        <f>'Unit Economics'!Z10</f>
        <v>3.14237876428571</v>
      </c>
      <c r="C20" s="4"/>
    </row>
    <row r="21" ht="15" customHeight="1">
      <c r="A21" s="4" t="s">
        <v>30</v>
      </c>
      <c r="B21" s="11">
        <f>'Unit Economics'!Z21</f>
        <v>136.899174607358</v>
      </c>
      <c r="C21" s="4"/>
    </row>
    <row r="22" ht="15" customHeight="1">
      <c r="A22" s="4" t="s">
        <v>31</v>
      </c>
      <c r="B22" s="12">
        <f>'Unit Economics'!Z25</f>
        <v>0.146095046816056</v>
      </c>
      <c r="C22" s="4"/>
    </row>
    <row r="23" ht="15" customHeight="1">
      <c r="A23" s="4" t="s">
        <v>32</v>
      </c>
      <c r="B23" s="5" t="s">
        <v>33</v>
      </c>
      <c r="C23" s="4" t="s">
        <v>34</v>
      </c>
    </row>
    <row r="24" ht="15" customHeight="1">
      <c r="A24" s="4" t="s">
        <v>35</v>
      </c>
      <c r="B24" s="12">
        <v>0.953054740537988</v>
      </c>
      <c r="C24" s="4" t="s">
        <v>36</v>
      </c>
    </row>
    <row r="25" ht="15" customHeight="1">
      <c r="A25" s="4" t="s">
        <v>37</v>
      </c>
      <c r="B25" s="5" t="s">
        <v>38</v>
      </c>
      <c r="C25" s="4" t="s">
        <v>39</v>
      </c>
    </row>
    <row r="27" ht="15.75" customHeight="1">
      <c r="A27" s="3" t="s">
        <v>40</v>
      </c>
    </row>
    <row r="28" ht="15" customHeight="1">
      <c r="A28" s="4" t="s">
        <v>41</v>
      </c>
      <c r="B28" s="5" t="s">
        <v>42</v>
      </c>
      <c r="C28" s="4" t="s">
        <v>43</v>
      </c>
    </row>
    <row r="29" ht="15" customHeight="1">
      <c r="A29" s="4" t="s">
        <v>44</v>
      </c>
      <c r="B29" s="5" t="s">
        <v>45</v>
      </c>
      <c r="C29" s="4" t="s">
        <v>46</v>
      </c>
    </row>
    <row r="30" ht="15" customHeight="1">
      <c r="A30" s="4" t="s">
        <v>47</v>
      </c>
      <c r="B30" s="13">
        <v>0.953054740537988</v>
      </c>
      <c r="C30" s="4" t="s">
        <v>36</v>
      </c>
    </row>
    <row r="31" ht="15" customHeight="1">
      <c r="A31" s="4" t="s">
        <v>48</v>
      </c>
      <c r="B31" s="13">
        <v>0.59594564006273</v>
      </c>
      <c r="C31" s="4" t="s">
        <v>49</v>
      </c>
    </row>
    <row r="32" ht="15" customHeight="1">
      <c r="A32" s="4" t="s">
        <v>50</v>
      </c>
      <c r="B32" s="13">
        <v>0.59594564006273</v>
      </c>
      <c r="C32" s="4" t="s">
        <v>49</v>
      </c>
    </row>
    <row r="33" ht="15" customHeight="1">
      <c r="A33" s="4" t="s">
        <v>51</v>
      </c>
      <c r="B33" s="5" t="s">
        <v>52</v>
      </c>
      <c r="C33" s="4" t="s">
        <v>53</v>
      </c>
    </row>
    <row r="34" ht="15" customHeight="1">
      <c r="A34" s="4" t="s">
        <v>54</v>
      </c>
      <c r="B34" s="5" t="s">
        <v>55</v>
      </c>
      <c r="C34" s="4" t="s">
        <v>56</v>
      </c>
    </row>
    <row r="35" ht="15" customHeight="1">
      <c r="A35" s="4" t="s">
        <v>57</v>
      </c>
      <c r="B35" s="5" t="s">
        <v>58</v>
      </c>
      <c r="C35" s="4" t="s">
        <v>59</v>
      </c>
    </row>
    <row r="36" ht="15" customHeight="1">
      <c r="A36" s="4" t="s">
        <v>60</v>
      </c>
      <c r="B36" s="5" t="s">
        <v>61</v>
      </c>
      <c r="C36" s="4" t="s">
        <v>62</v>
      </c>
    </row>
    <row r="38" ht="15.75" customHeight="1">
      <c r="A38" s="3" t="s">
        <v>63</v>
      </c>
    </row>
    <row r="39" ht="15" customHeight="1">
      <c r="A39" s="14" t="s">
        <v>64</v>
      </c>
      <c r="B39" s="14" t="s">
        <v>65</v>
      </c>
      <c r="C39" s="14" t="s">
        <v>66</v>
      </c>
      <c r="D39" s="14" t="s">
        <v>67</v>
      </c>
    </row>
    <row r="40" ht="15" customHeight="1">
      <c r="A40" s="15" t="s">
        <v>68</v>
      </c>
      <c r="B40" s="16">
        <v>175000</v>
      </c>
      <c r="C40" s="17">
        <v>0.35</v>
      </c>
      <c r="D40" s="15" t="s">
        <v>69</v>
      </c>
    </row>
    <row r="41" ht="15" customHeight="1">
      <c r="A41" s="15" t="s">
        <v>70</v>
      </c>
      <c r="B41" s="16">
        <v>150000</v>
      </c>
      <c r="C41" s="17">
        <v>0.3</v>
      </c>
      <c r="D41" s="15" t="s">
        <v>71</v>
      </c>
    </row>
    <row r="42" ht="15" customHeight="1">
      <c r="A42" s="15" t="s">
        <v>72</v>
      </c>
      <c r="B42" s="16">
        <v>75000</v>
      </c>
      <c r="C42" s="17">
        <v>0.15</v>
      </c>
      <c r="D42" s="15" t="s">
        <v>73</v>
      </c>
    </row>
    <row r="43" ht="15" customHeight="1">
      <c r="A43" s="15" t="s">
        <v>74</v>
      </c>
      <c r="B43" s="16">
        <v>50000</v>
      </c>
      <c r="C43" s="17">
        <v>0.1</v>
      </c>
      <c r="D43" s="15" t="s">
        <v>75</v>
      </c>
    </row>
    <row r="44" ht="15" customHeight="1">
      <c r="A44" s="15" t="s">
        <v>76</v>
      </c>
      <c r="B44" s="16">
        <v>50000</v>
      </c>
      <c r="C44" s="17">
        <v>0.1</v>
      </c>
      <c r="D44" s="15" t="s">
        <v>77</v>
      </c>
    </row>
    <row r="45" ht="15" customHeight="1">
      <c r="A45" s="18" t="s">
        <v>78</v>
      </c>
      <c r="B45" s="18">
        <v>500000</v>
      </c>
      <c r="C45" s="18">
        <v>1</v>
      </c>
      <c r="D45" s="15"/>
    </row>
    <row r="46" ht="15" customHeight="1">
      <c r="A46" s="19" t="s">
        <v>79</v>
      </c>
    </row>
    <row r="48" ht="15.75" customHeight="1">
      <c r="A48" s="3" t="s">
        <v>80</v>
      </c>
    </row>
    <row r="49" ht="15" customHeight="1">
      <c r="A49" s="4" t="s">
        <v>81</v>
      </c>
      <c r="B49" s="5" t="s">
        <v>82</v>
      </c>
      <c r="C49" s="4" t="s">
        <v>83</v>
      </c>
    </row>
    <row r="50" ht="15" customHeight="1">
      <c r="A50" s="4" t="s">
        <v>84</v>
      </c>
      <c r="B50" s="5" t="s">
        <v>85</v>
      </c>
      <c r="C50" s="4" t="s">
        <v>86</v>
      </c>
    </row>
    <row r="51" ht="15" customHeight="1">
      <c r="A51" s="4" t="s">
        <v>87</v>
      </c>
      <c r="B51" s="5" t="s">
        <v>88</v>
      </c>
      <c r="C51" s="4" t="s">
        <v>89</v>
      </c>
    </row>
    <row r="52" ht="15" customHeight="1">
      <c r="A52" s="4" t="s">
        <v>90</v>
      </c>
      <c r="B52" s="5" t="s">
        <v>91</v>
      </c>
      <c r="C52" s="4" t="s">
        <v>92</v>
      </c>
    </row>
    <row r="53" ht="15" customHeight="1">
      <c r="A53" s="4" t="s">
        <v>93</v>
      </c>
      <c r="B53" s="5" t="s">
        <v>94</v>
      </c>
      <c r="C53" s="4" t="s">
        <v>95</v>
      </c>
    </row>
    <row r="54" ht="15" customHeight="1">
      <c r="A54" s="4" t="s">
        <v>96</v>
      </c>
      <c r="B54" s="5">
        <v>495281.23092</v>
      </c>
      <c r="C54" s="4" t="s">
        <v>97</v>
      </c>
    </row>
    <row r="55" ht="15" customHeight="1">
      <c r="A55" s="4" t="s">
        <v>98</v>
      </c>
      <c r="B55" s="5" t="s">
        <v>99</v>
      </c>
      <c r="C55" s="4" t="s">
        <v>100</v>
      </c>
    </row>
    <row r="57" ht="15.75" customHeight="1">
      <c r="A57" s="20" t="s">
        <v>101</v>
      </c>
    </row>
    <row r="58" ht="15" customHeight="1">
      <c r="A58" s="18" t="s">
        <v>102</v>
      </c>
      <c r="B58" s="21" t="s">
        <v>103</v>
      </c>
      <c r="D58" s="4" t="s">
        <v>104</v>
      </c>
    </row>
    <row r="59" ht="15" customHeight="1">
      <c r="A59" s="4" t="s">
        <v>105</v>
      </c>
      <c r="B59" s="21" t="s">
        <v>106</v>
      </c>
      <c r="D59" s="4" t="s">
        <v>107</v>
      </c>
    </row>
    <row r="60" ht="15" customHeight="1">
      <c r="A60" s="18" t="s">
        <v>108</v>
      </c>
      <c r="B60" s="21" t="s">
        <v>109</v>
      </c>
      <c r="D60" s="4" t="s">
        <v>110</v>
      </c>
    </row>
    <row r="61" ht="15" customHeight="1">
      <c r="A61" s="4" t="s">
        <v>105</v>
      </c>
      <c r="B61" s="21" t="s">
        <v>111</v>
      </c>
      <c r="D61" s="4" t="s">
        <v>112</v>
      </c>
    </row>
    <row r="62" ht="15" customHeight="1">
      <c r="A62" s="18" t="s">
        <v>113</v>
      </c>
      <c r="B62" s="21" t="s">
        <v>114</v>
      </c>
      <c r="D62" s="4" t="s">
        <v>115</v>
      </c>
    </row>
    <row r="63" ht="15" customHeight="1">
      <c r="A63" s="4" t="s">
        <v>105</v>
      </c>
      <c r="B63" s="21" t="s">
        <v>116</v>
      </c>
      <c r="D63" s="4" t="s">
        <v>117</v>
      </c>
    </row>
    <row r="64" ht="15" customHeight="1">
      <c r="A64" s="18" t="s">
        <v>118</v>
      </c>
      <c r="B64" s="21" t="s">
        <v>119</v>
      </c>
      <c r="D64" s="4" t="s">
        <v>120</v>
      </c>
    </row>
    <row r="65" ht="15" customHeight="1">
      <c r="A65" s="4" t="s">
        <v>105</v>
      </c>
      <c r="B65" s="21" t="s">
        <v>121</v>
      </c>
      <c r="D65" s="4" t="s">
        <v>122</v>
      </c>
    </row>
    <row r="66" ht="15" customHeight="1">
      <c r="A66" s="18" t="s">
        <v>123</v>
      </c>
      <c r="B66" s="21" t="s">
        <v>124</v>
      </c>
      <c r="D66" s="4" t="s">
        <v>125</v>
      </c>
    </row>
    <row r="67" ht="15" customHeight="1">
      <c r="A67" s="4" t="s">
        <v>105</v>
      </c>
      <c r="B67" s="21" t="s">
        <v>126</v>
      </c>
      <c r="D67" s="4" t="s">
        <v>127</v>
      </c>
    </row>
    <row r="69" ht="15.75" customHeight="1">
      <c r="A69" s="3" t="s">
        <v>128</v>
      </c>
    </row>
    <row r="70" ht="15" customHeight="1">
      <c r="A70" s="22" t="s">
        <v>129</v>
      </c>
      <c r="B70" s="4" t="s">
        <v>130</v>
      </c>
    </row>
    <row r="71" ht="15" customHeight="1">
      <c r="A71" s="22" t="s">
        <v>131</v>
      </c>
      <c r="B71" s="4" t="s">
        <v>132</v>
      </c>
    </row>
    <row r="72" ht="15" customHeight="1">
      <c r="A72" s="22" t="s">
        <v>133</v>
      </c>
      <c r="B72" s="4" t="s">
        <v>134</v>
      </c>
    </row>
    <row r="73" ht="15" customHeight="1">
      <c r="A73" s="22" t="s">
        <v>135</v>
      </c>
      <c r="B73" s="4" t="s">
        <v>136</v>
      </c>
    </row>
    <row r="74" ht="15" customHeight="1">
      <c r="A74" s="22" t="s">
        <v>137</v>
      </c>
      <c r="B74" s="4" t="s">
        <v>138</v>
      </c>
    </row>
    <row r="75" ht="15" customHeight="1">
      <c r="A75" s="22" t="s">
        <v>139</v>
      </c>
      <c r="B75" s="4" t="s">
        <v>140</v>
      </c>
    </row>
    <row r="76" ht="15" customHeight="1">
      <c r="A76" s="22" t="s">
        <v>141</v>
      </c>
      <c r="B76" s="4" t="s">
        <v>142</v>
      </c>
    </row>
    <row r="77" ht="15" customHeight="1">
      <c r="A77" s="22" t="s">
        <v>143</v>
      </c>
      <c r="B77" s="4" t="s">
        <v>144</v>
      </c>
    </row>
    <row r="78" ht="15" customHeight="1">
      <c r="A78" s="23" t="s">
        <v>145</v>
      </c>
      <c r="B78" s="23" t="s">
        <v>146</v>
      </c>
    </row>
    <row r="80" ht="15.75" customHeight="1">
      <c r="A80" s="3" t="s">
        <v>147</v>
      </c>
    </row>
    <row r="81" ht="15" customHeight="1">
      <c r="A81" s="4" t="s">
        <v>148</v>
      </c>
      <c r="B81" s="5" t="s">
        <v>149</v>
      </c>
      <c r="C81" s="4" t="s">
        <v>150</v>
      </c>
    </row>
    <row r="82" ht="15" customHeight="1">
      <c r="A82" s="4" t="s">
        <v>151</v>
      </c>
      <c r="B82" s="5" t="s">
        <v>152</v>
      </c>
      <c r="C82" s="4"/>
    </row>
    <row r="83" ht="15" customHeight="1">
      <c r="A83" s="4" t="s">
        <v>153</v>
      </c>
      <c r="B83" s="5" t="s">
        <v>154</v>
      </c>
      <c r="C83" s="4"/>
    </row>
    <row r="84" ht="15" customHeight="1">
      <c r="A84" s="4" t="s">
        <v>155</v>
      </c>
      <c r="B84" s="5" t="s">
        <v>156</v>
      </c>
      <c r="C84" s="4"/>
    </row>
    <row r="85" ht="15" customHeight="1">
      <c r="A85" s="4" t="s">
        <v>157</v>
      </c>
      <c r="B85" s="5" t="s">
        <v>158</v>
      </c>
      <c r="C85" s="4"/>
    </row>
    <row r="87" ht="14.25" customHeight="1">
      <c r="A87" s="24" t="s">
        <v>159</v>
      </c>
    </row>
  </sheetData>
  <mergeCells>
    <mergeCell ref="A1:C1"/>
    <mergeCell ref="A2:C2"/>
    <mergeCell ref="A4:C4"/>
    <mergeCell ref="A17:C17"/>
    <mergeCell ref="A27:C27"/>
    <mergeCell ref="A38:D38"/>
    <mergeCell ref="A46:D46"/>
    <mergeCell ref="A48:C48"/>
    <mergeCell ref="A57:C57"/>
    <mergeCell ref="A69:B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0:C80"/>
    <mergeCell ref="A87:C87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A7694D6-7F9B-99DD-3168-85F521AE27E8}" mc:Ignorable="x14ac xr xr2 xr3">
  <dimension ref="A1:GR1000"/>
  <sheetViews>
    <sheetView topLeftCell="A1" workbookViewId="0">
      <selection activeCell="A1" sqref="A1:E1"/>
    </sheetView>
  </sheetViews>
  <sheetFormatPr defaultRowHeight="15" defaultColWidth="8.8515625" customHeight="1"/>
  <cols>
    <col min="1" max="1" width="50.00390625" customWidth="1"/>
    <col min="2" max="3" width="17.140625" customWidth="1"/>
    <col min="4" max="4" width="11.421875" customWidth="1"/>
    <col min="5" max="5" width="14.28125" customWidth="1"/>
  </cols>
  <sheetData>
    <row r="1" ht="18.75" customHeight="1">
      <c r="A1" s="199" t="s">
        <v>538</v>
      </c>
      <c r="B1" t="s">
        <v>538</v>
      </c>
      <c r="C1" t="s">
        <v>538</v>
      </c>
      <c r="D1" t="s">
        <v>538</v>
      </c>
      <c r="E1" t="s">
        <v>538</v>
      </c>
    </row>
    <row r="3" ht="16.5" customHeight="1">
      <c r="A3" s="200" t="s">
        <v>539</v>
      </c>
      <c r="B3" s="200" t="s">
        <v>540</v>
      </c>
      <c r="C3" s="200" t="s">
        <v>541</v>
      </c>
      <c r="D3" s="200" t="s">
        <v>542</v>
      </c>
      <c r="E3" s="200" t="s">
        <v>397</v>
      </c>
    </row>
    <row r="5" ht="16.5" customHeight="1">
      <c r="A5" s="200" t="s">
        <v>543</v>
      </c>
    </row>
    <row r="6" ht="15" customHeight="1">
      <c r="A6" t="s">
        <v>544</v>
      </c>
      <c r="B6" s="40">
        <f>Summary!B10</f>
        <v>3179851.754184</v>
      </c>
      <c r="C6" s="48">
        <f>'Revenue by Niche'!Z88</f>
        <v>3179851.754184</v>
      </c>
      <c r="D6" t="str">
        <f t="shared" si="0" ref="D6:D45">IF(ABS(B6-C6)&lt;0.01,"Yes","No")</f>
        <v>Yes</v>
      </c>
      <c r="E6" s="201" t="str">
        <f t="shared" si="1" ref="E6:E47">IF(D6="Yes","✓ PASS","✗ FAIL")</f>
        <v>✓ PASS</v>
      </c>
    </row>
    <row r="7" ht="15" customHeight="1">
      <c r="A7" t="s">
        <v>547</v>
      </c>
      <c r="B7" s="40">
        <f>Summary!B11</f>
        <v>2260605.0787656</v>
      </c>
      <c r="C7" s="48">
        <f>'P&amp;L'!Z26</f>
        <v>2260605.0787656</v>
      </c>
      <c r="D7" t="str">
        <f t="shared" si="0"/>
        <v>Yes</v>
      </c>
      <c r="E7" s="201" t="str">
        <f t="shared" si="1"/>
        <v>✓ PASS</v>
      </c>
    </row>
    <row r="8" ht="15" customHeight="1">
      <c r="A8" t="s">
        <v>548</v>
      </c>
      <c r="B8" s="40">
        <f>Summary!B12</f>
        <v>3260705.0787656</v>
      </c>
      <c r="C8" s="48">
        <f>'Cash Flow &amp; Runway'!Z18</f>
        <v>3260705.0787656</v>
      </c>
      <c r="D8" t="str">
        <f t="shared" si="0"/>
        <v>Yes</v>
      </c>
      <c r="E8" s="201" t="str">
        <f t="shared" si="1"/>
        <v>✓ PASS</v>
      </c>
    </row>
    <row r="9" ht="15" customHeight="1">
      <c r="A9" t="s">
        <v>549</v>
      </c>
      <c r="B9" s="40">
        <f>Summary!B13</f>
        <v>213739.63128</v>
      </c>
      <c r="C9" s="48">
        <f>'Revenue by Niche'!Y88</f>
        <v>213739.63128</v>
      </c>
      <c r="D9" t="str">
        <f t="shared" si="0"/>
        <v>Yes</v>
      </c>
      <c r="E9" s="201" t="str">
        <f t="shared" si="1"/>
        <v>✓ PASS</v>
      </c>
    </row>
    <row r="10" ht="15" customHeight="1">
      <c r="A10" t="s">
        <v>550</v>
      </c>
      <c r="B10" s="40">
        <f>Summary!B14</f>
        <v>2564875.57536</v>
      </c>
      <c r="C10" s="48">
        <f>'Revenue by Niche'!Y89</f>
        <v>2564875.57536</v>
      </c>
      <c r="D10" t="str">
        <f t="shared" si="0"/>
        <v>Yes</v>
      </c>
      <c r="E10" s="201" t="str">
        <f t="shared" si="1"/>
        <v>✓ PASS</v>
      </c>
    </row>
    <row r="11" ht="15" customHeight="1">
      <c r="A11" t="s">
        <v>551</v>
      </c>
      <c r="B11" s="40">
        <f>Summary!B15</f>
        <v>1200</v>
      </c>
      <c r="C11" s="48">
        <f>'Accounts &amp; Traffic'!Y14</f>
        <v>1200</v>
      </c>
      <c r="D11" t="str">
        <f t="shared" si="0"/>
        <v>Yes</v>
      </c>
      <c r="E11" s="201" t="str">
        <f t="shared" si="1"/>
        <v>✓ PASS</v>
      </c>
    </row>
    <row r="12" ht="15" customHeight="1">
      <c r="B12" s="40"/>
      <c r="C12" s="40"/>
    </row>
    <row r="13" ht="15" customHeight="1">
      <c r="B13" s="40"/>
      <c r="C13" s="40"/>
    </row>
    <row r="14" ht="16.5" customHeight="1">
      <c r="A14" s="200" t="s">
        <v>552</v>
      </c>
      <c r="B14" s="40"/>
      <c r="C14" s="40"/>
    </row>
    <row r="15" ht="15" customHeight="1">
      <c r="A15" t="s">
        <v>553</v>
      </c>
      <c r="B15" s="40">
        <f>'P&amp;L'!Z7</f>
        <v>3179851.754184</v>
      </c>
      <c r="C15" s="48">
        <f>'Revenue by Niche'!Z88</f>
        <v>3179851.754184</v>
      </c>
      <c r="D15" t="str">
        <f t="shared" si="0"/>
        <v>Yes</v>
      </c>
      <c r="E15" s="201" t="str">
        <f t="shared" si="1"/>
        <v>✓ PASS</v>
      </c>
    </row>
    <row r="16" ht="15" customHeight="1">
      <c r="A16" t="s">
        <v>554</v>
      </c>
      <c r="B16" s="40">
        <f>'P&amp;L'!Z11</f>
        <v>73891.5</v>
      </c>
      <c r="C16" s="48">
        <f>'COGS &amp; Tech'!Z26</f>
        <v>73891.5</v>
      </c>
      <c r="D16" t="str">
        <f t="shared" si="0"/>
        <v>Yes</v>
      </c>
      <c r="E16" s="201" t="str">
        <f t="shared" si="1"/>
        <v>✓ PASS</v>
      </c>
    </row>
    <row r="17" ht="15" customHeight="1">
      <c r="A17" t="s">
        <v>555</v>
      </c>
      <c r="B17" s="40">
        <f>'P&amp;L'!Z17</f>
        <v>467370</v>
      </c>
      <c r="C17" s="48">
        <f>'Opex &amp; Headcount'!Z17</f>
        <v>467370</v>
      </c>
      <c r="D17" t="str">
        <f t="shared" si="0"/>
        <v>Yes</v>
      </c>
      <c r="E17" s="201" t="str">
        <f t="shared" si="1"/>
        <v>✓ PASS</v>
      </c>
    </row>
    <row r="18" ht="15" customHeight="1">
      <c r="A18" t="s">
        <v>556</v>
      </c>
      <c r="B18" s="40">
        <f>'P&amp;L'!Z18</f>
        <v>36000</v>
      </c>
      <c r="C18" s="48">
        <f>'Opex &amp; Headcount'!Z18</f>
        <v>467370</v>
      </c>
      <c r="D18" t="str">
        <f t="shared" si="0"/>
        <v>No</v>
      </c>
      <c r="E18" s="202" t="str">
        <f t="shared" si="1"/>
        <v>✗ FAIL</v>
      </c>
    </row>
    <row r="19" ht="15" customHeight="1">
      <c r="A19" t="s">
        <v>559</v>
      </c>
      <c r="B19" s="40">
        <f>'P&amp;L'!Z21</f>
        <v>845355.1754184</v>
      </c>
      <c r="C19" s="40">
        <f>'Opex &amp; Headcount'!Z30</f>
        <v>0</v>
      </c>
      <c r="D19" t="str">
        <f t="shared" si="0"/>
        <v>No</v>
      </c>
      <c r="E19" s="202" t="str">
        <f t="shared" si="1"/>
        <v>✗ FAIL</v>
      </c>
    </row>
    <row r="20" ht="15" customHeight="1">
      <c r="B20" s="40"/>
      <c r="C20" s="40"/>
    </row>
    <row r="21" ht="15" customHeight="1">
      <c r="B21" s="40"/>
      <c r="C21" s="40"/>
    </row>
    <row r="22" ht="16.5" customHeight="1">
      <c r="A22" s="200" t="s">
        <v>560</v>
      </c>
      <c r="B22" s="40"/>
      <c r="C22" s="40"/>
    </row>
    <row r="23" ht="15" customHeight="1">
      <c r="A23" t="s">
        <v>561</v>
      </c>
      <c r="B23" s="40">
        <f>'Cash Flow &amp; Runway'!Z26</f>
        <v>2260605.0787656</v>
      </c>
      <c r="C23" s="48">
        <f>'P&amp;L'!Z26</f>
        <v>2260605.0787656</v>
      </c>
      <c r="D23" t="str">
        <f t="shared" si="0"/>
        <v>Yes</v>
      </c>
      <c r="E23" s="201" t="str">
        <f t="shared" si="1"/>
        <v>✓ PASS</v>
      </c>
    </row>
    <row r="24" ht="15" customHeight="1">
      <c r="A24" t="s">
        <v>562</v>
      </c>
      <c r="B24" s="40">
        <f>'Cash Flow &amp; Runway'!Z18</f>
        <v>3260705.0787656</v>
      </c>
      <c r="C24" s="48">
        <f>'Cash Flow &amp; Runway'!B17+'Cash Flow &amp; Runway'!B7+SUM('Cash Flow &amp; Runway'!B26:Z26)</f>
        <v>20107411.590258</v>
      </c>
      <c r="D24" t="str">
        <f t="shared" si="0"/>
        <v>No</v>
      </c>
      <c r="E24" s="202" t="str">
        <f t="shared" si="1"/>
        <v>✗ FAIL</v>
      </c>
    </row>
    <row r="25" ht="15" customHeight="1">
      <c r="A25" t="s">
        <v>563</v>
      </c>
      <c r="B25" s="40">
        <f>'Cash Flow &amp; Runway'!B7</f>
        <v>500000</v>
      </c>
      <c r="C25" s="48">
        <f>500000</f>
        <v>500000</v>
      </c>
      <c r="D25" t="str">
        <f t="shared" si="0"/>
        <v>Yes</v>
      </c>
      <c r="E25" s="201" t="str">
        <f t="shared" si="1"/>
        <v>✓ PASS</v>
      </c>
    </row>
    <row r="26" ht="15" customHeight="1">
      <c r="A26" t="s">
        <v>564</v>
      </c>
      <c r="B26" s="40">
        <f>'Cash Flow &amp; Runway'!B17</f>
        <v>100</v>
      </c>
      <c r="C26" s="48">
        <f>100</f>
        <v>100</v>
      </c>
      <c r="D26" t="str">
        <f t="shared" si="0"/>
        <v>Yes</v>
      </c>
      <c r="E26" s="201" t="str">
        <f t="shared" si="1"/>
        <v>✓ PASS</v>
      </c>
    </row>
    <row r="27" ht="15" customHeight="1">
      <c r="B27" s="40"/>
      <c r="C27" s="40"/>
    </row>
    <row r="28" ht="15" customHeight="1">
      <c r="B28" s="40"/>
      <c r="C28" s="40"/>
    </row>
    <row r="29" ht="16.5" customHeight="1">
      <c r="A29" s="200" t="s">
        <v>565</v>
      </c>
      <c r="B29" s="40"/>
      <c r="C29" s="40"/>
    </row>
    <row r="30" ht="15" customHeight="1">
      <c r="A30" t="s">
        <v>566</v>
      </c>
      <c r="B30" s="40">
        <f t="shared" si="2" ref="B30:B33">0</f>
        <v>0</v>
      </c>
      <c r="C30" s="40">
        <f>COUNTIF(Summary!A1:D87,"#REF!")</f>
        <v>0</v>
      </c>
      <c r="D30" t="str">
        <f t="shared" si="3" ref="D30:D33">IF(B30=C30,"Yes","No")</f>
        <v>Yes</v>
      </c>
      <c r="E30" s="201" t="str">
        <f t="shared" si="1"/>
        <v>✓ PASS</v>
      </c>
    </row>
    <row r="31" ht="15" customHeight="1">
      <c r="A31" t="s">
        <v>567</v>
      </c>
      <c r="B31" s="40">
        <f t="shared" si="2"/>
        <v>0</v>
      </c>
      <c r="C31" s="40">
        <f>COUNTIF('P&amp;L'!A1:AB42,"#VALUE!")</f>
        <v>0</v>
      </c>
      <c r="D31" t="str">
        <f t="shared" si="3"/>
        <v>Yes</v>
      </c>
      <c r="E31" s="201" t="str">
        <f t="shared" si="1"/>
        <v>✓ PASS</v>
      </c>
    </row>
    <row r="32" ht="15" customHeight="1">
      <c r="A32" t="s">
        <v>568</v>
      </c>
      <c r="B32" s="40">
        <f t="shared" si="2"/>
        <v>0</v>
      </c>
      <c r="C32" s="136">
        <f>COUNTIF('Unit Economics'!A1:AB60,"#DIV/0!")</f>
        <v>1</v>
      </c>
      <c r="D32" t="str">
        <f t="shared" si="3"/>
        <v>No</v>
      </c>
      <c r="E32" s="202" t="str">
        <f t="shared" si="1"/>
        <v>✗ FAIL</v>
      </c>
    </row>
    <row r="33" ht="15" customHeight="1">
      <c r="A33" t="s">
        <v>569</v>
      </c>
      <c r="B33" s="40">
        <f t="shared" si="2"/>
        <v>0</v>
      </c>
      <c r="C33" s="136">
        <f>COUNTIF('Cash Flow &amp; Runway'!A1:AD32,"#N/A")</f>
        <v>2</v>
      </c>
      <c r="D33" t="str">
        <f t="shared" si="3"/>
        <v>No</v>
      </c>
      <c r="E33" s="202" t="str">
        <f t="shared" si="1"/>
        <v>✗ FAIL</v>
      </c>
    </row>
    <row r="34" ht="15" customHeight="1">
      <c r="B34" s="40"/>
      <c r="C34" s="40"/>
    </row>
    <row r="35" ht="15" customHeight="1">
      <c r="B35" s="40"/>
      <c r="C35" s="40"/>
    </row>
    <row r="36" ht="16.5" customHeight="1">
      <c r="A36" s="200" t="s">
        <v>570</v>
      </c>
      <c r="B36" s="40"/>
      <c r="C36" s="40"/>
    </row>
    <row r="37" ht="15" customHeight="1">
      <c r="A37" t="s">
        <v>571</v>
      </c>
      <c r="B37" s="40">
        <f>'Revenue by Niche'!Z88</f>
        <v>3179851.754184</v>
      </c>
      <c r="C37" s="48">
        <f>SUM('Revenue by Niche'!B88:Y88)</f>
        <v>3179851.754184</v>
      </c>
      <c r="D37" t="str">
        <f t="shared" si="0"/>
        <v>Yes</v>
      </c>
      <c r="E37" s="201" t="str">
        <f t="shared" si="1"/>
        <v>✓ PASS</v>
      </c>
    </row>
    <row r="38" ht="15" customHeight="1">
      <c r="A38" t="s">
        <v>572</v>
      </c>
      <c r="B38" s="40">
        <f>'P&amp;L'!Z26</f>
        <v>2260605.0787656</v>
      </c>
      <c r="C38" s="48">
        <f>SUM('P&amp;L'!B26:Y26)</f>
        <v>2260605.0787656</v>
      </c>
      <c r="D38" t="str">
        <f t="shared" si="0"/>
        <v>Yes</v>
      </c>
      <c r="E38" s="201" t="str">
        <f t="shared" si="1"/>
        <v>✓ PASS</v>
      </c>
    </row>
    <row r="39" ht="15" customHeight="1">
      <c r="A39" t="s">
        <v>573</v>
      </c>
      <c r="B39" s="40">
        <f>'Cash Flow &amp; Runway'!Z14</f>
        <v>165010.668152</v>
      </c>
      <c r="C39" s="48">
        <f>SUM('Cash Flow &amp; Runway'!B14:Y14)</f>
        <v>2595594.4106136</v>
      </c>
      <c r="D39" t="str">
        <f t="shared" si="0"/>
        <v>No</v>
      </c>
      <c r="E39" s="202" t="str">
        <f t="shared" si="1"/>
        <v>✗ FAIL</v>
      </c>
    </row>
    <row r="40" ht="15" customHeight="1">
      <c r="A40" t="s">
        <v>574</v>
      </c>
      <c r="B40" s="40">
        <f>'COGS &amp; Tech'!Z26</f>
        <v>73891.5</v>
      </c>
      <c r="C40" s="48">
        <f>SUM('COGS &amp; Tech'!B26:Y26)</f>
        <v>73891.5</v>
      </c>
      <c r="D40" t="str">
        <f t="shared" si="0"/>
        <v>Yes</v>
      </c>
      <c r="E40" s="201" t="str">
        <f t="shared" si="1"/>
        <v>✓ PASS</v>
      </c>
    </row>
    <row r="41" ht="15" customHeight="1">
      <c r="B41" s="40"/>
      <c r="C41" s="40"/>
    </row>
    <row r="42" ht="15" customHeight="1">
      <c r="B42" s="40"/>
      <c r="C42" s="40"/>
    </row>
    <row r="43" ht="16.5" customHeight="1">
      <c r="A43" s="200" t="s">
        <v>575</v>
      </c>
      <c r="B43" s="40"/>
      <c r="C43" s="40"/>
    </row>
    <row r="44" ht="15" customHeight="1">
      <c r="A44" t="s">
        <v>576</v>
      </c>
      <c r="B44" s="40">
        <f>'Unit Economics'!B7</f>
        <v>1134</v>
      </c>
      <c r="C44" s="48">
        <f>'Accounts &amp; Traffic'!B36</f>
        <v>1134</v>
      </c>
      <c r="D44" t="str">
        <f t="shared" si="0"/>
        <v>Yes</v>
      </c>
      <c r="E44" s="201" t="str">
        <f t="shared" si="1"/>
        <v>✓ PASS</v>
      </c>
    </row>
    <row r="45" ht="15" customHeight="1">
      <c r="A45" t="s">
        <v>577</v>
      </c>
      <c r="B45" s="37">
        <f>'Unit Economics'!B16</f>
        <v>426.105657724559</v>
      </c>
      <c r="C45" s="37">
        <f>'Unit Economics'!B13*'Unit Economics'!B14*'Unit Economics'!B15</f>
        <v>426.105657724559</v>
      </c>
      <c r="D45" t="str">
        <f t="shared" si="0"/>
        <v>Yes</v>
      </c>
      <c r="E45" s="201" t="str">
        <f t="shared" si="1"/>
        <v>✓ PASS</v>
      </c>
    </row>
    <row r="46" ht="15" customHeight="1">
      <c r="A46" t="s">
        <v>578</v>
      </c>
      <c r="B46" s="40">
        <f>3</f>
        <v>3</v>
      </c>
      <c r="C46" s="40">
        <f>'Unit Economics'!Z20</f>
        <v>0</v>
      </c>
      <c r="D46" t="str">
        <f>IF(C46&gt;B46,"Yes","No")</f>
        <v>No</v>
      </c>
      <c r="E46" s="202" t="str">
        <f t="shared" si="1"/>
        <v>✗ FAIL</v>
      </c>
    </row>
    <row r="47" ht="15" customHeight="1">
      <c r="A47" t="s">
        <v>579</v>
      </c>
      <c r="B47" s="40">
        <f>12</f>
        <v>12</v>
      </c>
      <c r="C47" s="40">
        <f>'Unit Economics'!Z22</f>
        <v>0</v>
      </c>
      <c r="D47" t="str">
        <f>IF(C47&lt;B47,"Yes","No")</f>
        <v>Yes</v>
      </c>
      <c r="E47" s="201" t="str">
        <f t="shared" si="1"/>
        <v>✓ PASS</v>
      </c>
    </row>
    <row r="48" ht="15" customHeight="1">
      <c r="B48" s="40"/>
      <c r="C48" s="40"/>
    </row>
    <row r="49" ht="15" customHeight="1">
      <c r="B49" s="40"/>
      <c r="C49" s="40"/>
    </row>
    <row r="50" ht="16.5" customHeight="1">
      <c r="A50" s="200" t="s">
        <v>580</v>
      </c>
      <c r="B50" s="40"/>
      <c r="C50" s="40"/>
    </row>
    <row r="51" ht="15" customHeight="1">
      <c r="A51" t="s">
        <v>581</v>
      </c>
      <c r="B51" s="40">
        <f>COUNTA(E6:E11)+COUNTA(E15:E19)+COUNTA(E23:E26)+COUNTA(E30:E33)+COUNTA(E37:E40)+COUNTA(E44:E47)</f>
        <v>27</v>
      </c>
      <c r="C51" s="40"/>
    </row>
    <row r="52" ht="15" customHeight="1">
      <c r="A52" t="s">
        <v>582</v>
      </c>
      <c r="B52" s="40">
        <f>COUNTIF(E6:E11,"✓ PASS")+COUNTIF(E15:E19,"✓ PASS")+COUNTIF(E23:E26,"✓ PASS")+COUNTIF(E30:E33,"✓ PASS")+COUNTIF(E37:E40,"✓ PASS")+COUNTIF(E44:E47,"✓ PASS")</f>
        <v>20</v>
      </c>
      <c r="C52" s="40"/>
    </row>
    <row r="53" ht="15" customHeight="1">
      <c r="A53" t="s">
        <v>583</v>
      </c>
      <c r="B53" s="40">
        <f>B51-B52</f>
        <v>7</v>
      </c>
      <c r="C53" s="40"/>
    </row>
    <row r="54" ht="15" customHeight="1">
      <c r="A54" t="s">
        <v>584</v>
      </c>
      <c r="B54" s="37">
        <f>B52/B51</f>
        <v>0.740740740740741</v>
      </c>
      <c r="C54" s="40"/>
    </row>
    <row r="55" ht="15" customHeight="1">
      <c r="A55" t="s">
        <v>585</v>
      </c>
      <c r="B55" s="203" t="str">
        <f>IF(B54=1,"✓ MODEL READY","⚠ NEEDS REVIEW")</f>
        <v>⚠ NEEDS REVIEW</v>
      </c>
      <c r="C55" s="40"/>
    </row>
  </sheetData>
  <mergeCells>
    <mergeCell ref="A1:E1"/>
    <mergeCell ref="A5:E5"/>
    <mergeCell ref="A14:E14"/>
    <mergeCell ref="A22:E22"/>
    <mergeCell ref="A29:E29"/>
    <mergeCell ref="A36:E36"/>
    <mergeCell ref="A43:E43"/>
    <mergeCell ref="A50:E50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8F90018-B52C-5138-3B48-759F2AD0ABF8}" mc:Ignorable="x14ac xr xr2 xr3">
  <dimension ref="A1:GR1000"/>
  <sheetViews>
    <sheetView topLeftCell="N1" workbookViewId="0">
      <pane ySplit="17" topLeftCell="A19" activePane="bottomLeft" state="frozen"/>
      <selection pane="bottomLeft" activeCell="AB33" sqref="AB33"/>
    </sheetView>
  </sheetViews>
  <sheetFormatPr defaultRowHeight="15" defaultColWidth="8.8515625" customHeight="1"/>
  <cols>
    <col min="1" max="1" width="40.00390625" customWidth="1"/>
    <col min="2" max="4" width="17.140625" customWidth="1"/>
    <col min="5" max="6" width="21.421875" customWidth="1"/>
    <col min="7" max="8" width="14.28125" customWidth="1"/>
  </cols>
  <sheetData>
    <row r="1" ht="20.25" customHeight="1">
      <c r="A1" s="25" t="s">
        <v>160</v>
      </c>
    </row>
    <row r="2" ht="16.5" customHeight="1">
      <c r="A2" s="26" t="s">
        <v>161</v>
      </c>
    </row>
    <row r="4" ht="16.5" customHeight="1">
      <c r="A4" s="27" t="s">
        <v>162</v>
      </c>
    </row>
    <row r="5" ht="15.75" customHeight="1">
      <c r="A5" t="s">
        <v>163</v>
      </c>
      <c r="B5" t="s">
        <v>164</v>
      </c>
    </row>
    <row r="6" ht="16.5" customHeight="1">
      <c r="A6" t="s">
        <v>165</v>
      </c>
      <c r="B6" t="s">
        <v>166</v>
      </c>
    </row>
    <row r="7" ht="16.5" customHeight="1">
      <c r="A7" t="s">
        <v>167</v>
      </c>
      <c r="B7" t="s">
        <v>168</v>
      </c>
    </row>
    <row r="8" ht="16.5" customHeight="1">
      <c r="A8" t="s">
        <v>169</v>
      </c>
      <c r="B8" t="s">
        <v>170</v>
      </c>
    </row>
    <row r="9" ht="15" customHeight="1">
      <c r="A9" t="s">
        <v>171</v>
      </c>
      <c r="B9" t="s">
        <v>172</v>
      </c>
    </row>
    <row r="10" ht="16.5" customHeight="1">
      <c r="A10" t="s">
        <v>173</v>
      </c>
      <c r="B10" t="s">
        <v>174</v>
      </c>
    </row>
    <row r="11" ht="15.75" customHeight="1">
      <c r="A11" t="s">
        <v>175</v>
      </c>
      <c r="B11" t="s">
        <v>176</v>
      </c>
    </row>
    <row r="12" ht="16.5" customHeight="1">
      <c r="A12" t="s">
        <v>177</v>
      </c>
      <c r="B12" t="s">
        <v>178</v>
      </c>
    </row>
    <row r="13" ht="16.5" customHeight="1"/>
    <row r="14" ht="16.5" customHeight="1"/>
    <row r="15" ht="16.5" customHeight="1"/>
    <row r="16" ht="16.5" customHeight="1"/>
    <row r="17" ht="15" customHeight="1">
      <c r="A17" s="27" t="s">
        <v>179</v>
      </c>
    </row>
    <row r="18" ht="16.5" customHeight="1">
      <c r="A18" s="28" t="s">
        <v>180</v>
      </c>
      <c r="B18" s="29"/>
      <c r="C18" s="29"/>
      <c r="D18" s="29"/>
      <c r="E18" s="29"/>
      <c r="F18" s="29"/>
      <c r="G18" s="29"/>
      <c r="H18" s="29"/>
    </row>
    <row r="19" ht="16.5" customHeight="1">
      <c r="A19" s="30" t="s">
        <v>181</v>
      </c>
      <c r="B19" s="31">
        <v>0</v>
      </c>
      <c r="C19" s="31">
        <v>0</v>
      </c>
      <c r="D19" s="31">
        <v>0</v>
      </c>
      <c r="E19" s="31">
        <v>0</v>
      </c>
      <c r="F19" s="32">
        <v>0</v>
      </c>
      <c r="G19" s="31">
        <v>0</v>
      </c>
      <c r="H19" s="31">
        <v>0</v>
      </c>
    </row>
    <row r="20" ht="16.5" customHeight="1">
      <c r="A20" s="30" t="s">
        <v>182</v>
      </c>
      <c r="B20" s="33">
        <v>19.99</v>
      </c>
      <c r="C20" s="33">
        <v>39</v>
      </c>
      <c r="D20" s="33">
        <v>79</v>
      </c>
      <c r="E20" s="31">
        <v>149</v>
      </c>
      <c r="F20" s="32">
        <v>8</v>
      </c>
      <c r="G20" s="31">
        <v>260</v>
      </c>
      <c r="H20" s="31">
        <v>260</v>
      </c>
    </row>
    <row r="21" ht="15" customHeight="1">
      <c r="A21" s="30" t="s">
        <v>183</v>
      </c>
      <c r="B21" s="33">
        <v>7.99</v>
      </c>
      <c r="C21" s="33">
        <v>29</v>
      </c>
      <c r="D21" s="33">
        <v>57</v>
      </c>
      <c r="E21" s="31">
        <v>127</v>
      </c>
      <c r="F21" s="32">
        <v>7</v>
      </c>
      <c r="G21" s="31">
        <v>190</v>
      </c>
      <c r="H21" s="31">
        <v>190</v>
      </c>
    </row>
    <row r="22" ht="16.5" customHeight="1">
      <c r="A22" s="30" t="s">
        <v>184</v>
      </c>
      <c r="B22" s="33">
        <v>12.99</v>
      </c>
      <c r="C22" s="33">
        <v>24</v>
      </c>
      <c r="D22" s="33">
        <v>19.99</v>
      </c>
      <c r="E22" s="31">
        <v>89</v>
      </c>
      <c r="F22" s="32">
        <v>6</v>
      </c>
      <c r="G22" s="31">
        <v>170</v>
      </c>
      <c r="H22" s="31">
        <v>170</v>
      </c>
    </row>
    <row r="23" ht="15.75" customHeight="1">
      <c r="A23" s="30" t="s">
        <v>185</v>
      </c>
      <c r="B23" s="33">
        <v>14.99</v>
      </c>
      <c r="C23" s="33">
        <v>34</v>
      </c>
      <c r="D23" s="33">
        <v>67</v>
      </c>
      <c r="E23" s="31">
        <v>147</v>
      </c>
      <c r="F23" s="32">
        <v>5</v>
      </c>
      <c r="G23" s="31">
        <v>150</v>
      </c>
      <c r="H23" s="31">
        <v>150</v>
      </c>
    </row>
    <row r="24" ht="16.5" customHeight="1">
      <c r="A24" s="30" t="s">
        <v>186</v>
      </c>
      <c r="B24" s="33">
        <v>9.99</v>
      </c>
      <c r="C24" s="33">
        <v>22</v>
      </c>
      <c r="D24" s="33">
        <v>39</v>
      </c>
      <c r="E24" s="31">
        <v>97</v>
      </c>
      <c r="F24" s="32">
        <v>8</v>
      </c>
      <c r="G24" s="31">
        <v>190</v>
      </c>
      <c r="H24" s="31">
        <v>190</v>
      </c>
    </row>
    <row r="25" ht="16.5" customHeight="1">
      <c r="A25" s="30" t="s">
        <v>187</v>
      </c>
      <c r="B25" s="33">
        <v>17.99</v>
      </c>
      <c r="C25" s="33">
        <v>37</v>
      </c>
      <c r="D25" s="33">
        <v>79</v>
      </c>
      <c r="E25" s="31">
        <v>197</v>
      </c>
      <c r="F25" s="32">
        <v>6</v>
      </c>
      <c r="G25" s="31">
        <v>190</v>
      </c>
      <c r="H25" s="31">
        <v>190</v>
      </c>
    </row>
    <row r="26" ht="16.5" customHeight="1"/>
    <row r="27" ht="16.5" customHeight="1"/>
    <row r="28" ht="16.5" customHeight="1"/>
    <row r="29" ht="16.5" customHeight="1">
      <c r="A29" s="27" t="s">
        <v>188</v>
      </c>
    </row>
    <row r="30" ht="16.5" customHeight="1">
      <c r="A30" t="s">
        <v>189</v>
      </c>
      <c r="B30" s="34">
        <v>0.015</v>
      </c>
    </row>
    <row r="31" ht="16.5" customHeight="1">
      <c r="A31" t="s">
        <v>190</v>
      </c>
      <c r="B31" s="34">
        <v>0.3</v>
      </c>
    </row>
    <row r="32" ht="16.5" customHeight="1">
      <c r="A32" t="s">
        <v>191</v>
      </c>
      <c r="B32" s="34">
        <v>0.125</v>
      </c>
    </row>
    <row r="33" ht="16.5" customHeight="1">
      <c r="A33" s="35" t="s">
        <v>192</v>
      </c>
      <c r="B33" s="36">
        <v>20</v>
      </c>
      <c r="AB33" s="37"/>
    </row>
    <row r="34" ht="16.5" customHeight="1">
      <c r="A34" s="15" t="s">
        <v>193</v>
      </c>
      <c r="B34" s="38">
        <v>0.03</v>
      </c>
      <c r="AB34" s="37"/>
    </row>
    <row r="35" ht="15" customHeight="1">
      <c r="B35" s="37"/>
      <c r="AB35" s="37"/>
    </row>
    <row r="36" ht="16.5" customHeight="1">
      <c r="B36" s="37"/>
      <c r="AB36" s="37"/>
    </row>
    <row r="37" ht="15.75" customHeight="1">
      <c r="A37" s="27" t="s">
        <v>194</v>
      </c>
      <c r="B37" s="37"/>
      <c r="AB37" s="37"/>
    </row>
    <row r="38" ht="16.5" customHeight="1">
      <c r="A38" s="28" t="s">
        <v>195</v>
      </c>
      <c r="B38" s="39" t="s">
        <v>196</v>
      </c>
      <c r="C38" s="28" t="s">
        <v>197</v>
      </c>
      <c r="D38" s="28" t="s">
        <v>198</v>
      </c>
      <c r="E38" s="28" t="s">
        <v>199</v>
      </c>
      <c r="AB38" s="37"/>
    </row>
    <row r="39" ht="16.5" customHeight="1">
      <c r="A39" s="15" t="s">
        <v>200</v>
      </c>
      <c r="B39" s="37" t="s">
        <v>201</v>
      </c>
      <c r="C39" s="36">
        <v>200</v>
      </c>
      <c r="D39" s="40">
        <v>0</v>
      </c>
      <c r="E39" s="15" t="s">
        <v>202</v>
      </c>
      <c r="AB39" s="37"/>
    </row>
    <row r="40" ht="16.5" customHeight="1">
      <c r="A40" s="15" t="s">
        <v>203</v>
      </c>
      <c r="B40" s="37" t="s">
        <v>204</v>
      </c>
      <c r="C40" s="36">
        <v>350</v>
      </c>
      <c r="D40" s="40">
        <v>50</v>
      </c>
      <c r="E40" s="15" t="s">
        <v>205</v>
      </c>
      <c r="AB40" s="37"/>
    </row>
    <row r="41" ht="16.5" customHeight="1">
      <c r="A41" s="15" t="s">
        <v>206</v>
      </c>
      <c r="B41" s="37" t="s">
        <v>207</v>
      </c>
      <c r="C41" s="36">
        <v>600</v>
      </c>
      <c r="D41" s="40">
        <v>42</v>
      </c>
      <c r="E41" s="15" t="s">
        <v>208</v>
      </c>
      <c r="AB41" s="37"/>
    </row>
    <row r="42" ht="16.5" customHeight="1">
      <c r="A42" s="15" t="s">
        <v>209</v>
      </c>
      <c r="B42" s="37" t="s">
        <v>210</v>
      </c>
      <c r="C42" s="36">
        <v>900</v>
      </c>
      <c r="D42" s="40">
        <v>50</v>
      </c>
      <c r="E42" s="15" t="s">
        <v>211</v>
      </c>
      <c r="AB42" s="37"/>
    </row>
    <row r="43" ht="16.5" customHeight="1">
      <c r="A43" s="15" t="s">
        <v>212</v>
      </c>
      <c r="B43" s="37" t="s">
        <v>213</v>
      </c>
      <c r="C43" s="36">
        <v>1200</v>
      </c>
      <c r="D43" s="40">
        <v>50</v>
      </c>
      <c r="E43" s="15" t="s">
        <v>214</v>
      </c>
      <c r="AB43" s="37"/>
    </row>
    <row r="44" ht="16.5" customHeight="1"/>
    <row r="45" ht="16.5" customHeight="1"/>
    <row r="46" ht="16.5" customHeight="1">
      <c r="A46" s="27" t="s">
        <v>215</v>
      </c>
    </row>
    <row r="47" ht="16.5" customHeight="1">
      <c r="A47" s="28" t="s">
        <v>216</v>
      </c>
      <c r="B47" s="41">
        <v>3000</v>
      </c>
      <c r="C47" s="29">
        <v>1</v>
      </c>
      <c r="D47" s="42" t="s">
        <v>217</v>
      </c>
    </row>
    <row r="48" ht="16.5" customHeight="1">
      <c r="A48" t="s">
        <v>218</v>
      </c>
      <c r="B48" s="43">
        <v>3000</v>
      </c>
      <c r="C48" s="40">
        <v>1</v>
      </c>
      <c r="D48" s="15" t="s">
        <v>217</v>
      </c>
    </row>
    <row r="49" ht="16.5" customHeight="1">
      <c r="A49" t="s">
        <v>219</v>
      </c>
      <c r="B49" s="43">
        <v>2500</v>
      </c>
      <c r="C49" s="40">
        <v>1</v>
      </c>
      <c r="D49" s="15">
        <v>100</v>
      </c>
    </row>
    <row r="50" ht="15" customHeight="1">
      <c r="A50" t="s">
        <v>220</v>
      </c>
      <c r="B50" s="43">
        <v>2000</v>
      </c>
      <c r="C50" s="40">
        <v>1</v>
      </c>
      <c r="D50" s="15">
        <v>150</v>
      </c>
    </row>
    <row r="51" ht="16.5" customHeight="1">
      <c r="A51" t="s">
        <v>221</v>
      </c>
      <c r="B51" s="43">
        <v>1500</v>
      </c>
      <c r="C51" s="40">
        <v>1</v>
      </c>
      <c r="D51" s="15">
        <v>40</v>
      </c>
    </row>
    <row r="52" ht="16.5" customHeight="1">
      <c r="A52" t="s">
        <v>222</v>
      </c>
      <c r="B52" s="43">
        <v>1000</v>
      </c>
      <c r="C52" s="40">
        <v>4</v>
      </c>
      <c r="D52" s="15">
        <v>50</v>
      </c>
    </row>
    <row r="53" ht="16.5" customHeight="1">
      <c r="A53" t="s">
        <v>223</v>
      </c>
      <c r="B53" s="43">
        <v>1500</v>
      </c>
      <c r="C53" s="40">
        <v>1</v>
      </c>
      <c r="D53" s="15">
        <v>200</v>
      </c>
    </row>
    <row r="54" ht="16.5" customHeight="1">
      <c r="A54" t="s">
        <v>224</v>
      </c>
      <c r="B54" s="43">
        <v>1500</v>
      </c>
      <c r="C54" s="40">
        <v>1</v>
      </c>
      <c r="D54" s="15">
        <v>200</v>
      </c>
    </row>
    <row r="55" ht="16.5" customHeight="1">
      <c r="A55" t="s">
        <v>225</v>
      </c>
      <c r="B55" s="43">
        <v>1000</v>
      </c>
      <c r="C55" s="40">
        <v>3</v>
      </c>
      <c r="D55" s="15">
        <v>60</v>
      </c>
    </row>
    <row r="56" ht="16.5" customHeight="1">
      <c r="A56" t="s">
        <v>226</v>
      </c>
      <c r="B56" s="43">
        <v>800</v>
      </c>
      <c r="C56" s="40">
        <v>6</v>
      </c>
      <c r="D56" s="15">
        <v>100</v>
      </c>
    </row>
    <row r="57" ht="15" customHeight="1"/>
    <row r="58" ht="16.5" customHeight="1"/>
    <row r="59" ht="16.5" customHeight="1">
      <c r="A59" t="s">
        <v>227</v>
      </c>
      <c r="B59" s="44">
        <v>1.35</v>
      </c>
    </row>
    <row r="60" ht="16.5" customHeight="1"/>
    <row r="61" ht="16.5" customHeight="1"/>
    <row r="62" ht="16.5" customHeight="1">
      <c r="A62" s="27" t="s">
        <v>228</v>
      </c>
    </row>
    <row r="63" ht="15" customHeight="1">
      <c r="A63" s="28" t="s">
        <v>229</v>
      </c>
      <c r="B63" s="41">
        <v>0</v>
      </c>
      <c r="C63" s="45">
        <v>0.75</v>
      </c>
      <c r="D63" s="28" t="s">
        <v>230</v>
      </c>
    </row>
    <row r="64" ht="16.5" customHeight="1">
      <c r="A64" t="s">
        <v>231</v>
      </c>
      <c r="B64" s="43">
        <v>0</v>
      </c>
      <c r="C64" s="46">
        <v>0.5</v>
      </c>
      <c r="D64" t="s">
        <v>232</v>
      </c>
    </row>
    <row r="65" ht="16.5" customHeight="1">
      <c r="A65" t="s">
        <v>233</v>
      </c>
      <c r="B65" s="47">
        <v>500000</v>
      </c>
      <c r="C65" s="46">
        <v>0.28</v>
      </c>
      <c r="D65" t="s">
        <v>234</v>
      </c>
    </row>
    <row r="66" ht="16.5" customHeight="1">
      <c r="A66" t="s">
        <v>235</v>
      </c>
      <c r="B66" s="43">
        <v>100</v>
      </c>
      <c r="C66" s="46">
        <v>0.15</v>
      </c>
      <c r="D66" t="s">
        <v>236</v>
      </c>
    </row>
    <row r="67" ht="16.5" customHeight="1">
      <c r="A67" t="s">
        <v>237</v>
      </c>
      <c r="B67" s="43">
        <v>150</v>
      </c>
      <c r="C67" s="36">
        <v>0.015</v>
      </c>
      <c r="D67" t="s">
        <v>238</v>
      </c>
    </row>
    <row r="68" ht="15" customHeight="1">
      <c r="A68" t="s">
        <v>239</v>
      </c>
      <c r="B68" s="43">
        <v>50</v>
      </c>
      <c r="C68" s="46" t="s">
        <v>240</v>
      </c>
      <c r="D68" t="s">
        <v>241</v>
      </c>
    </row>
    <row r="69" ht="15" customHeight="1">
      <c r="A69" t="s">
        <v>242</v>
      </c>
      <c r="B69" s="43">
        <v>0</v>
      </c>
      <c r="C69" s="46" t="s">
        <v>243</v>
      </c>
      <c r="D69" t="s">
        <v>244</v>
      </c>
    </row>
    <row r="70" ht="16.5" customHeight="1">
      <c r="C70" t="s">
        <v>245</v>
      </c>
    </row>
    <row r="72" ht="15" customHeight="1">
      <c r="A72" s="27" t="s">
        <v>246</v>
      </c>
    </row>
    <row r="73" ht="15" customHeight="1">
      <c r="A73" t="s">
        <v>247</v>
      </c>
      <c r="B73" s="43">
        <v>30</v>
      </c>
    </row>
    <row r="74" ht="15" customHeight="1">
      <c r="A74" t="s">
        <v>248</v>
      </c>
      <c r="B74" s="43">
        <v>100</v>
      </c>
    </row>
    <row r="75" ht="15" customHeight="1">
      <c r="A75" t="s">
        <v>249</v>
      </c>
      <c r="B75" s="43">
        <v>70</v>
      </c>
    </row>
    <row r="76" ht="15" customHeight="1">
      <c r="A76" t="s">
        <v>250</v>
      </c>
      <c r="B76" s="43">
        <v>33</v>
      </c>
    </row>
    <row r="77" ht="16.5" customHeight="1">
      <c r="A77" t="s">
        <v>251</v>
      </c>
      <c r="B77" s="43">
        <v>10</v>
      </c>
    </row>
    <row r="79" ht="15" customHeight="1">
      <c r="A79" s="27" t="s">
        <v>252</v>
      </c>
    </row>
    <row r="80" ht="15" customHeight="1">
      <c r="A80" t="s">
        <v>253</v>
      </c>
      <c r="B80" s="43">
        <v>500</v>
      </c>
    </row>
    <row r="81" ht="15" customHeight="1">
      <c r="A81" t="s">
        <v>254</v>
      </c>
      <c r="B81" s="43">
        <v>400</v>
      </c>
    </row>
    <row r="82" ht="15" customHeight="1">
      <c r="A82" t="s">
        <v>255</v>
      </c>
      <c r="B82" s="43">
        <v>1000</v>
      </c>
    </row>
    <row r="83" ht="15" customHeight="1">
      <c r="A83" t="s">
        <v>256</v>
      </c>
      <c r="B83" s="34">
        <v>0.1</v>
      </c>
    </row>
    <row r="84" ht="15" customHeight="1">
      <c r="A84" t="s">
        <v>257</v>
      </c>
      <c r="B84" s="43">
        <v>600</v>
      </c>
    </row>
    <row r="87" ht="15" customHeight="1">
      <c r="A87" s="27" t="s">
        <v>258</v>
      </c>
    </row>
    <row r="88" ht="15" customHeight="1">
      <c r="A88" t="s">
        <v>259</v>
      </c>
      <c r="B88" s="43">
        <v>500000</v>
      </c>
    </row>
    <row r="89" ht="15" customHeight="1">
      <c r="A89" t="s">
        <v>260</v>
      </c>
      <c r="B89" s="43">
        <v>10000</v>
      </c>
    </row>
    <row r="90" ht="15" customHeight="1">
      <c r="A90" t="s">
        <v>261</v>
      </c>
      <c r="B90" s="48">
        <f>B88+B89</f>
        <v>510000</v>
      </c>
    </row>
    <row r="92" ht="15" customHeight="1">
      <c r="A92" t="s">
        <v>262</v>
      </c>
      <c r="B92" s="36">
        <v>10</v>
      </c>
    </row>
    <row r="93" ht="15" customHeight="1">
      <c r="A93" t="s">
        <v>263</v>
      </c>
      <c r="B93" s="34">
        <v>0.75</v>
      </c>
    </row>
    <row r="94" ht="15" customHeight="1">
      <c r="A94" t="s">
        <v>264</v>
      </c>
      <c r="B94" s="36">
        <v>30</v>
      </c>
    </row>
    <row r="95" ht="15" customHeight="1">
      <c r="A95" t="s">
        <v>265</v>
      </c>
      <c r="B95" s="43">
        <v>5</v>
      </c>
    </row>
    <row r="98" ht="15" customHeight="1">
      <c r="A98" s="49" t="s">
        <v>266</v>
      </c>
    </row>
  </sheetData>
  <mergeCells>
    <mergeCell ref="A10:E10"/>
    <mergeCell ref="A18:C18"/>
    <mergeCell ref="A22:D22"/>
    <mergeCell ref="A36:D36"/>
    <mergeCell ref="A51:C51"/>
    <mergeCell ref="A58:C58"/>
    <mergeCell ref="A64:C64"/>
    <mergeCell ref="A14:E14"/>
    <mergeCell ref="A24:E24"/>
    <mergeCell ref="A32:E32"/>
    <mergeCell ref="A40:E40"/>
    <mergeCell ref="A55:E55"/>
    <mergeCell ref="A70:E70"/>
    <mergeCell ref="A77:E77"/>
    <mergeCell ref="A84:E84"/>
    <mergeCell ref="A1:F1"/>
    <mergeCell ref="A2:F2"/>
    <mergeCell ref="A4:F4"/>
    <mergeCell ref="A17:H17"/>
    <mergeCell ref="A29:F29"/>
    <mergeCell ref="A37:F37"/>
    <mergeCell ref="A46:F46"/>
    <mergeCell ref="A62:F62"/>
    <mergeCell ref="A72:F72"/>
    <mergeCell ref="A79:F79"/>
    <mergeCell ref="A87:F87"/>
    <mergeCell ref="A98:F98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2977468-715B-C1F8-C298-4DD32D2C4ED8}" mc:Ignorable="x14ac xr xr2 xr3">
  <dimension ref="A1:GR1000"/>
  <sheetViews>
    <sheetView workbookViewId="0">
      <pane xSplit="1" ySplit="4" topLeftCell="Q5" activePane="bottomRight" state="frozen"/>
      <selection pane="bottomLeft" activeCell="A5" sqref="A5"/>
      <selection pane="topRight" activeCell="B1" sqref="B1"/>
      <selection pane="bottomRight" activeCell="Z6" sqref="Z6"/>
    </sheetView>
  </sheetViews>
  <sheetFormatPr defaultRowHeight="15" defaultColWidth="8.8515625" customHeight="1"/>
  <cols>
    <col min="1" max="1" width="40.00390625" customWidth="1"/>
    <col min="2" max="25" width="11.421875" customWidth="1"/>
    <col min="26" max="26" width="17.140625" customWidth="1"/>
  </cols>
  <sheetData>
    <row r="1" ht="18.75" customHeight="1">
      <c r="A1" s="50" t="s">
        <v>267</v>
      </c>
    </row>
    <row r="2" ht="15.75" customHeight="1">
      <c r="A2" s="51" t="s">
        <v>268</v>
      </c>
    </row>
    <row r="4" ht="15.75" customHeight="1">
      <c r="A4" s="52" t="s">
        <v>269</v>
      </c>
      <c r="B4" s="52" t="s">
        <v>270</v>
      </c>
      <c r="C4" s="52" t="s">
        <v>271</v>
      </c>
      <c r="D4" s="52" t="s">
        <v>272</v>
      </c>
      <c r="E4" s="52" t="s">
        <v>15</v>
      </c>
      <c r="F4" s="52" t="s">
        <v>273</v>
      </c>
      <c r="G4" s="52" t="s">
        <v>274</v>
      </c>
      <c r="H4" s="52" t="s">
        <v>275</v>
      </c>
      <c r="I4" s="52" t="s">
        <v>276</v>
      </c>
      <c r="J4" s="52" t="s">
        <v>277</v>
      </c>
      <c r="K4" s="52" t="s">
        <v>278</v>
      </c>
      <c r="L4" s="52" t="s">
        <v>279</v>
      </c>
      <c r="M4" s="52" t="s">
        <v>280</v>
      </c>
      <c r="N4" s="52" t="s">
        <v>281</v>
      </c>
      <c r="O4" s="52" t="s">
        <v>282</v>
      </c>
      <c r="P4" s="52" t="s">
        <v>283</v>
      </c>
      <c r="Q4" s="52" t="s">
        <v>284</v>
      </c>
      <c r="R4" s="52" t="s">
        <v>285</v>
      </c>
      <c r="S4" s="52" t="s">
        <v>286</v>
      </c>
      <c r="T4" s="52" t="s">
        <v>287</v>
      </c>
      <c r="U4" s="52" t="s">
        <v>288</v>
      </c>
      <c r="V4" s="52" t="s">
        <v>289</v>
      </c>
      <c r="W4" s="52" t="s">
        <v>290</v>
      </c>
      <c r="X4" s="52" t="s">
        <v>291</v>
      </c>
      <c r="Y4" s="52" t="s">
        <v>292</v>
      </c>
      <c r="Z4" s="53" t="s">
        <v>293</v>
      </c>
    </row>
    <row r="5" ht="15.75" customHeight="1">
      <c r="A5" s="54" t="s">
        <v>294</v>
      </c>
      <c r="Z5" s="55"/>
    </row>
    <row r="6" ht="15" customHeight="1">
      <c r="A6" s="56" t="s">
        <v>295</v>
      </c>
      <c r="B6" s="57">
        <v>0</v>
      </c>
      <c r="C6" s="57">
        <v>0</v>
      </c>
      <c r="D6" s="57">
        <v>0</v>
      </c>
      <c r="E6" s="57">
        <v>0</v>
      </c>
      <c r="F6" s="57">
        <v>0</v>
      </c>
      <c r="G6" s="57">
        <v>0</v>
      </c>
      <c r="H6" s="57">
        <v>0</v>
      </c>
      <c r="I6" s="57">
        <v>0</v>
      </c>
      <c r="J6" s="57">
        <v>0</v>
      </c>
      <c r="K6" s="57">
        <v>0</v>
      </c>
      <c r="L6" s="57">
        <v>0</v>
      </c>
      <c r="M6" s="57">
        <v>0</v>
      </c>
      <c r="N6" s="57">
        <v>0</v>
      </c>
      <c r="O6" s="57">
        <v>0</v>
      </c>
      <c r="P6" s="57">
        <v>0</v>
      </c>
      <c r="Q6" s="57">
        <v>0</v>
      </c>
      <c r="R6" s="57">
        <v>0</v>
      </c>
      <c r="S6" s="57">
        <v>0</v>
      </c>
      <c r="T6" s="57">
        <v>0</v>
      </c>
      <c r="U6" s="57">
        <v>0</v>
      </c>
      <c r="V6" s="57">
        <v>0</v>
      </c>
      <c r="W6" s="57">
        <v>0</v>
      </c>
      <c r="X6" s="57">
        <v>0</v>
      </c>
      <c r="Y6" s="57">
        <v>0</v>
      </c>
      <c r="Z6" s="58">
        <f t="shared" si="0" ref="Z6:Z53">AVERAGE(B6:Y6)</f>
        <v>0</v>
      </c>
      <c r="AB6" s="40"/>
    </row>
    <row r="7" ht="15" customHeight="1">
      <c r="A7" s="56" t="s">
        <v>296</v>
      </c>
      <c r="B7" s="57">
        <v>60</v>
      </c>
      <c r="C7" s="57">
        <v>60</v>
      </c>
      <c r="D7" s="57">
        <v>60</v>
      </c>
      <c r="E7" s="57">
        <v>105</v>
      </c>
      <c r="F7" s="57">
        <v>105</v>
      </c>
      <c r="G7" s="57">
        <v>105</v>
      </c>
      <c r="H7" s="57">
        <v>180</v>
      </c>
      <c r="I7" s="57">
        <v>180</v>
      </c>
      <c r="J7" s="57">
        <v>180</v>
      </c>
      <c r="K7" s="57">
        <v>180</v>
      </c>
      <c r="L7" s="57">
        <v>180</v>
      </c>
      <c r="M7" s="57">
        <v>180</v>
      </c>
      <c r="N7" s="57">
        <v>270</v>
      </c>
      <c r="O7" s="57">
        <v>270</v>
      </c>
      <c r="P7" s="57">
        <v>270</v>
      </c>
      <c r="Q7" s="57">
        <v>270</v>
      </c>
      <c r="R7" s="57">
        <v>270</v>
      </c>
      <c r="S7" s="57">
        <v>270</v>
      </c>
      <c r="T7" s="57">
        <v>360</v>
      </c>
      <c r="U7" s="57">
        <v>360</v>
      </c>
      <c r="V7" s="57">
        <v>360</v>
      </c>
      <c r="W7" s="57">
        <v>360</v>
      </c>
      <c r="X7" s="57">
        <v>360</v>
      </c>
      <c r="Y7" s="57">
        <v>360</v>
      </c>
      <c r="Z7" s="58">
        <f t="shared" si="0"/>
        <v>223.125</v>
      </c>
      <c r="AB7" s="40"/>
    </row>
    <row r="8" ht="15" customHeight="1">
      <c r="A8" s="56" t="s">
        <v>297</v>
      </c>
      <c r="B8" s="57">
        <v>40</v>
      </c>
      <c r="C8" s="57">
        <v>40</v>
      </c>
      <c r="D8" s="57">
        <v>40</v>
      </c>
      <c r="E8" s="57">
        <v>70</v>
      </c>
      <c r="F8" s="57">
        <v>70</v>
      </c>
      <c r="G8" s="57">
        <v>70</v>
      </c>
      <c r="H8" s="57">
        <v>120</v>
      </c>
      <c r="I8" s="57">
        <v>120</v>
      </c>
      <c r="J8" s="57">
        <v>120</v>
      </c>
      <c r="K8" s="57">
        <v>120</v>
      </c>
      <c r="L8" s="57">
        <v>120</v>
      </c>
      <c r="M8" s="57">
        <v>120</v>
      </c>
      <c r="N8" s="57">
        <v>180</v>
      </c>
      <c r="O8" s="57">
        <v>180</v>
      </c>
      <c r="P8" s="57">
        <v>180</v>
      </c>
      <c r="Q8" s="57">
        <v>180</v>
      </c>
      <c r="R8" s="57">
        <v>180</v>
      </c>
      <c r="S8" s="57">
        <v>180</v>
      </c>
      <c r="T8" s="57">
        <v>240</v>
      </c>
      <c r="U8" s="57">
        <v>240</v>
      </c>
      <c r="V8" s="57">
        <v>240</v>
      </c>
      <c r="W8" s="57">
        <v>240</v>
      </c>
      <c r="X8" s="57">
        <v>240</v>
      </c>
      <c r="Y8" s="57">
        <v>240</v>
      </c>
      <c r="Z8" s="58">
        <f t="shared" si="0"/>
        <v>148.75</v>
      </c>
      <c r="AB8" s="40"/>
    </row>
    <row r="9" ht="15" customHeight="1">
      <c r="A9" s="56" t="s">
        <v>298</v>
      </c>
      <c r="B9" s="57">
        <v>30</v>
      </c>
      <c r="C9" s="57">
        <v>30</v>
      </c>
      <c r="D9" s="57">
        <v>30</v>
      </c>
      <c r="E9" s="57">
        <v>53</v>
      </c>
      <c r="F9" s="57">
        <v>53</v>
      </c>
      <c r="G9" s="57">
        <v>53</v>
      </c>
      <c r="H9" s="57">
        <v>90</v>
      </c>
      <c r="I9" s="57">
        <v>90</v>
      </c>
      <c r="J9" s="57">
        <v>90</v>
      </c>
      <c r="K9" s="57">
        <v>90</v>
      </c>
      <c r="L9" s="57">
        <v>90</v>
      </c>
      <c r="M9" s="57">
        <v>90</v>
      </c>
      <c r="N9" s="57">
        <v>135</v>
      </c>
      <c r="O9" s="57">
        <v>135</v>
      </c>
      <c r="P9" s="57">
        <v>135</v>
      </c>
      <c r="Q9" s="57">
        <v>135</v>
      </c>
      <c r="R9" s="57">
        <v>135</v>
      </c>
      <c r="S9" s="57">
        <v>135</v>
      </c>
      <c r="T9" s="57">
        <v>180</v>
      </c>
      <c r="U9" s="57">
        <v>180</v>
      </c>
      <c r="V9" s="57">
        <v>180</v>
      </c>
      <c r="W9" s="57">
        <v>180</v>
      </c>
      <c r="X9" s="57">
        <v>180</v>
      </c>
      <c r="Y9" s="57">
        <v>180</v>
      </c>
      <c r="Z9" s="58">
        <f t="shared" si="0"/>
        <v>111.625</v>
      </c>
      <c r="AB9" s="40"/>
    </row>
    <row r="10" ht="15" customHeight="1">
      <c r="A10" s="56" t="s">
        <v>299</v>
      </c>
      <c r="B10" s="57">
        <v>30</v>
      </c>
      <c r="C10" s="57">
        <v>30</v>
      </c>
      <c r="D10" s="57">
        <v>30</v>
      </c>
      <c r="E10" s="57">
        <v>53</v>
      </c>
      <c r="F10" s="57">
        <v>53</v>
      </c>
      <c r="G10" s="57">
        <v>53</v>
      </c>
      <c r="H10" s="57">
        <v>90</v>
      </c>
      <c r="I10" s="57">
        <v>90</v>
      </c>
      <c r="J10" s="57">
        <v>90</v>
      </c>
      <c r="K10" s="57">
        <v>90</v>
      </c>
      <c r="L10" s="57">
        <v>90</v>
      </c>
      <c r="M10" s="57">
        <v>90</v>
      </c>
      <c r="N10" s="57">
        <v>135</v>
      </c>
      <c r="O10" s="57">
        <v>135</v>
      </c>
      <c r="P10" s="57">
        <v>135</v>
      </c>
      <c r="Q10" s="57">
        <v>135</v>
      </c>
      <c r="R10" s="57">
        <v>135</v>
      </c>
      <c r="S10" s="57">
        <v>135</v>
      </c>
      <c r="T10" s="57">
        <v>180</v>
      </c>
      <c r="U10" s="57">
        <v>180</v>
      </c>
      <c r="V10" s="57">
        <v>180</v>
      </c>
      <c r="W10" s="57">
        <v>180</v>
      </c>
      <c r="X10" s="57">
        <v>180</v>
      </c>
      <c r="Y10" s="57">
        <v>180</v>
      </c>
      <c r="Z10" s="58">
        <f t="shared" si="0"/>
        <v>111.625</v>
      </c>
      <c r="AB10" s="40"/>
    </row>
    <row r="11" ht="15" customHeight="1">
      <c r="A11" s="56" t="s">
        <v>300</v>
      </c>
      <c r="B11" s="57">
        <v>20</v>
      </c>
      <c r="C11" s="57">
        <v>20</v>
      </c>
      <c r="D11" s="57">
        <v>20</v>
      </c>
      <c r="E11" s="57">
        <v>35</v>
      </c>
      <c r="F11" s="57">
        <v>35</v>
      </c>
      <c r="G11" s="57">
        <v>35</v>
      </c>
      <c r="H11" s="57">
        <v>60</v>
      </c>
      <c r="I11" s="57">
        <v>60</v>
      </c>
      <c r="J11" s="57">
        <v>60</v>
      </c>
      <c r="K11" s="57">
        <v>60</v>
      </c>
      <c r="L11" s="57">
        <v>60</v>
      </c>
      <c r="M11" s="57">
        <v>60</v>
      </c>
      <c r="N11" s="57">
        <v>90</v>
      </c>
      <c r="O11" s="57">
        <v>90</v>
      </c>
      <c r="P11" s="57">
        <v>90</v>
      </c>
      <c r="Q11" s="57">
        <v>90</v>
      </c>
      <c r="R11" s="57">
        <v>90</v>
      </c>
      <c r="S11" s="57">
        <v>90</v>
      </c>
      <c r="T11" s="57">
        <v>120</v>
      </c>
      <c r="U11" s="57">
        <v>120</v>
      </c>
      <c r="V11" s="57">
        <v>120</v>
      </c>
      <c r="W11" s="57">
        <v>120</v>
      </c>
      <c r="X11" s="57">
        <v>120</v>
      </c>
      <c r="Y11" s="57">
        <v>120</v>
      </c>
      <c r="Z11" s="58">
        <f t="shared" si="0"/>
        <v>74.375</v>
      </c>
      <c r="AB11" s="40"/>
    </row>
    <row r="12" ht="15" customHeight="1">
      <c r="A12" s="56" t="s">
        <v>301</v>
      </c>
      <c r="B12" s="57">
        <v>20</v>
      </c>
      <c r="C12" s="57">
        <v>20</v>
      </c>
      <c r="D12" s="57">
        <v>20</v>
      </c>
      <c r="E12" s="57">
        <v>35</v>
      </c>
      <c r="F12" s="57">
        <v>35</v>
      </c>
      <c r="G12" s="57">
        <v>35</v>
      </c>
      <c r="H12" s="57">
        <v>60</v>
      </c>
      <c r="I12" s="57">
        <v>60</v>
      </c>
      <c r="J12" s="57">
        <v>60</v>
      </c>
      <c r="K12" s="57">
        <v>60</v>
      </c>
      <c r="L12" s="57">
        <v>60</v>
      </c>
      <c r="M12" s="57">
        <v>60</v>
      </c>
      <c r="N12" s="57">
        <v>90</v>
      </c>
      <c r="O12" s="57">
        <v>90</v>
      </c>
      <c r="P12" s="57">
        <v>90</v>
      </c>
      <c r="Q12" s="57">
        <v>90</v>
      </c>
      <c r="R12" s="57">
        <v>90</v>
      </c>
      <c r="S12" s="57">
        <v>90</v>
      </c>
      <c r="T12" s="57">
        <v>120</v>
      </c>
      <c r="U12" s="57">
        <v>120</v>
      </c>
      <c r="V12" s="57">
        <v>120</v>
      </c>
      <c r="W12" s="57">
        <v>120</v>
      </c>
      <c r="X12" s="57">
        <v>120</v>
      </c>
      <c r="Y12" s="57">
        <v>120</v>
      </c>
      <c r="Z12" s="58">
        <f t="shared" si="0"/>
        <v>74.375</v>
      </c>
      <c r="AB12" s="40"/>
    </row>
    <row r="13" ht="15" customHeight="1"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8"/>
      <c r="AB13" s="40"/>
    </row>
    <row r="14" ht="15" customHeight="1">
      <c r="A14" s="56" t="s">
        <v>302</v>
      </c>
      <c r="B14" s="57">
        <v>200</v>
      </c>
      <c r="C14" s="57">
        <v>200</v>
      </c>
      <c r="D14" s="57">
        <v>200</v>
      </c>
      <c r="E14" s="57">
        <v>350</v>
      </c>
      <c r="F14" s="57">
        <v>350</v>
      </c>
      <c r="G14" s="57">
        <v>350</v>
      </c>
      <c r="H14" s="57">
        <v>600</v>
      </c>
      <c r="I14" s="57">
        <v>600</v>
      </c>
      <c r="J14" s="57">
        <v>600</v>
      </c>
      <c r="K14" s="57">
        <v>600</v>
      </c>
      <c r="L14" s="57">
        <v>600</v>
      </c>
      <c r="M14" s="57">
        <v>600</v>
      </c>
      <c r="N14" s="57">
        <v>900</v>
      </c>
      <c r="O14" s="57">
        <v>900</v>
      </c>
      <c r="P14" s="57">
        <v>900</v>
      </c>
      <c r="Q14" s="57">
        <v>900</v>
      </c>
      <c r="R14" s="57">
        <v>900</v>
      </c>
      <c r="S14" s="57">
        <v>900</v>
      </c>
      <c r="T14" s="57">
        <v>1200</v>
      </c>
      <c r="U14" s="57">
        <v>1200</v>
      </c>
      <c r="V14" s="57">
        <v>1200</v>
      </c>
      <c r="W14" s="57">
        <v>1200</v>
      </c>
      <c r="X14" s="57">
        <v>1200</v>
      </c>
      <c r="Y14" s="57">
        <v>1200</v>
      </c>
      <c r="Z14" s="58">
        <f>Y14</f>
        <v>1200</v>
      </c>
      <c r="AB14" s="40"/>
    </row>
    <row r="15" ht="15" customHeight="1">
      <c r="A15" s="56" t="s">
        <v>303</v>
      </c>
      <c r="B15" s="57">
        <v>200</v>
      </c>
      <c r="C15" s="57">
        <f t="shared" si="1" ref="C15:Y15">C14-B14</f>
        <v>0</v>
      </c>
      <c r="D15" s="57">
        <f t="shared" si="1"/>
        <v>0</v>
      </c>
      <c r="E15" s="57">
        <f t="shared" si="1"/>
        <v>150</v>
      </c>
      <c r="F15" s="57">
        <f t="shared" si="1"/>
        <v>0</v>
      </c>
      <c r="G15" s="57">
        <f t="shared" si="1"/>
        <v>0</v>
      </c>
      <c r="H15" s="57">
        <f t="shared" si="1"/>
        <v>250</v>
      </c>
      <c r="I15" s="57">
        <f t="shared" si="1"/>
        <v>0</v>
      </c>
      <c r="J15" s="57">
        <f t="shared" si="1"/>
        <v>0</v>
      </c>
      <c r="K15" s="57">
        <f t="shared" si="1"/>
        <v>0</v>
      </c>
      <c r="L15" s="57">
        <f t="shared" si="1"/>
        <v>0</v>
      </c>
      <c r="M15" s="57">
        <f t="shared" si="1"/>
        <v>0</v>
      </c>
      <c r="N15" s="57">
        <f t="shared" si="1"/>
        <v>300</v>
      </c>
      <c r="O15" s="57">
        <f t="shared" si="1"/>
        <v>0</v>
      </c>
      <c r="P15" s="57">
        <f t="shared" si="1"/>
        <v>0</v>
      </c>
      <c r="Q15" s="57">
        <f t="shared" si="1"/>
        <v>0</v>
      </c>
      <c r="R15" s="57">
        <f t="shared" si="1"/>
        <v>0</v>
      </c>
      <c r="S15" s="57">
        <f t="shared" si="1"/>
        <v>0</v>
      </c>
      <c r="T15" s="57">
        <f t="shared" si="1"/>
        <v>300</v>
      </c>
      <c r="U15" s="57">
        <f t="shared" si="1"/>
        <v>0</v>
      </c>
      <c r="V15" s="57">
        <f t="shared" si="1"/>
        <v>0</v>
      </c>
      <c r="W15" s="57">
        <f t="shared" si="1"/>
        <v>0</v>
      </c>
      <c r="X15" s="57">
        <f t="shared" si="1"/>
        <v>0</v>
      </c>
      <c r="Y15" s="57">
        <f t="shared" si="1"/>
        <v>0</v>
      </c>
      <c r="Z15" s="58">
        <f t="shared" si="5" ref="Z15:Z47">SUM(B15:Y15)</f>
        <v>1200</v>
      </c>
      <c r="AB15" s="40"/>
    </row>
    <row r="16" ht="15" customHeight="1">
      <c r="A16" s="56" t="s">
        <v>304</v>
      </c>
      <c r="B16" s="59">
        <v>0</v>
      </c>
      <c r="C16" s="59">
        <f t="shared" si="2" ref="C16:Y16">IF(B14=0,0,C15/B14)</f>
        <v>0</v>
      </c>
      <c r="D16" s="59">
        <f t="shared" si="2"/>
        <v>0</v>
      </c>
      <c r="E16" s="59">
        <f t="shared" si="2"/>
        <v>0.75</v>
      </c>
      <c r="F16" s="59">
        <f t="shared" si="2"/>
        <v>0</v>
      </c>
      <c r="G16" s="59">
        <f t="shared" si="2"/>
        <v>0</v>
      </c>
      <c r="H16" s="59">
        <f t="shared" si="2"/>
        <v>0.714285714285714</v>
      </c>
      <c r="I16" s="59">
        <f t="shared" si="2"/>
        <v>0</v>
      </c>
      <c r="J16" s="59">
        <f t="shared" si="2"/>
        <v>0</v>
      </c>
      <c r="K16" s="59">
        <f t="shared" si="2"/>
        <v>0</v>
      </c>
      <c r="L16" s="59">
        <f t="shared" si="2"/>
        <v>0</v>
      </c>
      <c r="M16" s="59">
        <f t="shared" si="2"/>
        <v>0</v>
      </c>
      <c r="N16" s="59">
        <f t="shared" si="2"/>
        <v>0.5</v>
      </c>
      <c r="O16" s="59">
        <f t="shared" si="2"/>
        <v>0</v>
      </c>
      <c r="P16" s="59">
        <f t="shared" si="2"/>
        <v>0</v>
      </c>
      <c r="Q16" s="59">
        <f t="shared" si="2"/>
        <v>0</v>
      </c>
      <c r="R16" s="59">
        <f t="shared" si="2"/>
        <v>0</v>
      </c>
      <c r="S16" s="59">
        <f t="shared" si="2"/>
        <v>0</v>
      </c>
      <c r="T16" s="59">
        <f t="shared" si="2"/>
        <v>0.333333333333333</v>
      </c>
      <c r="U16" s="59">
        <f t="shared" si="2"/>
        <v>0</v>
      </c>
      <c r="V16" s="59">
        <f t="shared" si="2"/>
        <v>0</v>
      </c>
      <c r="W16" s="59">
        <f t="shared" si="2"/>
        <v>0</v>
      </c>
      <c r="X16" s="59">
        <f t="shared" si="2"/>
        <v>0</v>
      </c>
      <c r="Y16" s="59">
        <f t="shared" si="2"/>
        <v>0</v>
      </c>
      <c r="Z16" s="60">
        <f t="shared" si="0"/>
        <v>0.095734126984127</v>
      </c>
    </row>
    <row r="17" ht="15" customHeight="1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2"/>
    </row>
    <row r="18" ht="15.75" customHeight="1">
      <c r="A18" s="54" t="s">
        <v>305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2"/>
    </row>
    <row r="19" ht="15" customHeight="1">
      <c r="A19" s="56" t="s">
        <v>306</v>
      </c>
      <c r="B19" s="57">
        <v>3</v>
      </c>
      <c r="C19" s="57">
        <v>3</v>
      </c>
      <c r="D19" s="57">
        <v>3</v>
      </c>
      <c r="E19" s="57">
        <v>3</v>
      </c>
      <c r="F19" s="57">
        <v>3</v>
      </c>
      <c r="G19" s="57">
        <v>3</v>
      </c>
      <c r="H19" s="57">
        <v>3</v>
      </c>
      <c r="I19" s="57">
        <v>3</v>
      </c>
      <c r="J19" s="57">
        <v>3</v>
      </c>
      <c r="K19" s="57">
        <v>3</v>
      </c>
      <c r="L19" s="57">
        <v>3</v>
      </c>
      <c r="M19" s="57">
        <v>3</v>
      </c>
      <c r="N19" s="57">
        <v>3</v>
      </c>
      <c r="O19" s="57">
        <v>3</v>
      </c>
      <c r="P19" s="57">
        <v>3</v>
      </c>
      <c r="Q19" s="57">
        <v>3</v>
      </c>
      <c r="R19" s="57">
        <v>3</v>
      </c>
      <c r="S19" s="57">
        <v>3</v>
      </c>
      <c r="T19" s="57">
        <v>3</v>
      </c>
      <c r="U19" s="57">
        <v>3</v>
      </c>
      <c r="V19" s="57">
        <v>3</v>
      </c>
      <c r="W19" s="57">
        <v>3</v>
      </c>
      <c r="X19" s="57">
        <v>3</v>
      </c>
      <c r="Y19" s="57">
        <v>3</v>
      </c>
      <c r="Z19" s="58"/>
    </row>
    <row r="20" ht="15" customHeight="1">
      <c r="A20" s="56" t="s">
        <v>307</v>
      </c>
      <c r="B20" s="57">
        <f t="shared" si="3" ref="B20:Y27">B14*B19</f>
        <v>600</v>
      </c>
      <c r="C20" s="57">
        <f t="shared" si="3"/>
        <v>600</v>
      </c>
      <c r="D20" s="57">
        <f t="shared" si="3"/>
        <v>600</v>
      </c>
      <c r="E20" s="57">
        <f t="shared" si="3"/>
        <v>1050</v>
      </c>
      <c r="F20" s="57">
        <f t="shared" si="3"/>
        <v>1050</v>
      </c>
      <c r="G20" s="57">
        <f t="shared" si="3"/>
        <v>1050</v>
      </c>
      <c r="H20" s="57">
        <f t="shared" si="3"/>
        <v>1800</v>
      </c>
      <c r="I20" s="57">
        <f t="shared" si="3"/>
        <v>1800</v>
      </c>
      <c r="J20" s="57">
        <f t="shared" si="3"/>
        <v>1800</v>
      </c>
      <c r="K20" s="57">
        <f t="shared" si="3"/>
        <v>1800</v>
      </c>
      <c r="L20" s="57">
        <f t="shared" si="3"/>
        <v>1800</v>
      </c>
      <c r="M20" s="57">
        <f t="shared" si="3"/>
        <v>1800</v>
      </c>
      <c r="N20" s="57">
        <f t="shared" si="3"/>
        <v>2700</v>
      </c>
      <c r="O20" s="57">
        <f t="shared" si="3"/>
        <v>2700</v>
      </c>
      <c r="P20" s="57">
        <f t="shared" si="3"/>
        <v>2700</v>
      </c>
      <c r="Q20" s="57">
        <f t="shared" si="3"/>
        <v>2700</v>
      </c>
      <c r="R20" s="57">
        <f t="shared" si="3"/>
        <v>2700</v>
      </c>
      <c r="S20" s="57">
        <f t="shared" si="3"/>
        <v>2700</v>
      </c>
      <c r="T20" s="57">
        <f t="shared" si="3"/>
        <v>3600</v>
      </c>
      <c r="U20" s="57">
        <f t="shared" si="3"/>
        <v>3600</v>
      </c>
      <c r="V20" s="57">
        <f t="shared" si="3"/>
        <v>3600</v>
      </c>
      <c r="W20" s="57">
        <f t="shared" si="3"/>
        <v>3600</v>
      </c>
      <c r="X20" s="57">
        <f t="shared" si="3"/>
        <v>3600</v>
      </c>
      <c r="Y20" s="57">
        <f t="shared" si="3"/>
        <v>3600</v>
      </c>
      <c r="Z20" s="63">
        <f t="shared" si="0"/>
        <v>2231.25</v>
      </c>
      <c r="AB20" s="37"/>
    </row>
    <row r="21" ht="15" customHeight="1">
      <c r="A21" s="56" t="s">
        <v>308</v>
      </c>
      <c r="B21" s="57">
        <f t="shared" si="4" ref="B21:Y21">B20*30</f>
        <v>18000</v>
      </c>
      <c r="C21" s="57">
        <f t="shared" si="4"/>
        <v>18000</v>
      </c>
      <c r="D21" s="57">
        <f t="shared" si="4"/>
        <v>18000</v>
      </c>
      <c r="E21" s="57">
        <f t="shared" si="4"/>
        <v>31500</v>
      </c>
      <c r="F21" s="57">
        <f t="shared" si="4"/>
        <v>31500</v>
      </c>
      <c r="G21" s="57">
        <f t="shared" si="4"/>
        <v>31500</v>
      </c>
      <c r="H21" s="57">
        <f t="shared" si="4"/>
        <v>54000</v>
      </c>
      <c r="I21" s="57">
        <f t="shared" si="4"/>
        <v>54000</v>
      </c>
      <c r="J21" s="57">
        <f t="shared" si="4"/>
        <v>54000</v>
      </c>
      <c r="K21" s="57">
        <f t="shared" si="4"/>
        <v>54000</v>
      </c>
      <c r="L21" s="57">
        <f t="shared" si="4"/>
        <v>54000</v>
      </c>
      <c r="M21" s="57">
        <f t="shared" si="4"/>
        <v>54000</v>
      </c>
      <c r="N21" s="57">
        <f t="shared" si="4"/>
        <v>81000</v>
      </c>
      <c r="O21" s="57">
        <f t="shared" si="4"/>
        <v>81000</v>
      </c>
      <c r="P21" s="57">
        <f t="shared" si="4"/>
        <v>81000</v>
      </c>
      <c r="Q21" s="57">
        <f t="shared" si="4"/>
        <v>81000</v>
      </c>
      <c r="R21" s="57">
        <f t="shared" si="4"/>
        <v>81000</v>
      </c>
      <c r="S21" s="57">
        <f t="shared" si="4"/>
        <v>81000</v>
      </c>
      <c r="T21" s="57">
        <f t="shared" si="4"/>
        <v>108000</v>
      </c>
      <c r="U21" s="57">
        <f t="shared" si="4"/>
        <v>108000</v>
      </c>
      <c r="V21" s="57">
        <f t="shared" si="4"/>
        <v>108000</v>
      </c>
      <c r="W21" s="57">
        <f t="shared" si="4"/>
        <v>108000</v>
      </c>
      <c r="X21" s="57">
        <f t="shared" si="4"/>
        <v>108000</v>
      </c>
      <c r="Y21" s="57">
        <f t="shared" si="4"/>
        <v>108000</v>
      </c>
      <c r="Z21" s="63">
        <f t="shared" si="5"/>
        <v>1606500</v>
      </c>
      <c r="AB21" s="37"/>
    </row>
    <row r="22" ht="15" customHeight="1">
      <c r="A22" s="56" t="s">
        <v>309</v>
      </c>
      <c r="B22" s="57">
        <f t="shared" si="10" ref="B22:Y48">B21</f>
        <v>18000</v>
      </c>
      <c r="C22" s="57">
        <f t="shared" si="6" ref="C22:Y48">B22+C21</f>
        <v>36000</v>
      </c>
      <c r="D22" s="57">
        <f t="shared" si="6"/>
        <v>54000</v>
      </c>
      <c r="E22" s="57">
        <f t="shared" si="6"/>
        <v>85500</v>
      </c>
      <c r="F22" s="57">
        <f t="shared" si="6"/>
        <v>117000</v>
      </c>
      <c r="G22" s="57">
        <f t="shared" si="6"/>
        <v>148500</v>
      </c>
      <c r="H22" s="57">
        <f t="shared" si="6"/>
        <v>202500</v>
      </c>
      <c r="I22" s="57">
        <f t="shared" si="6"/>
        <v>256500</v>
      </c>
      <c r="J22" s="57">
        <f t="shared" si="6"/>
        <v>310500</v>
      </c>
      <c r="K22" s="57">
        <f t="shared" si="6"/>
        <v>364500</v>
      </c>
      <c r="L22" s="57">
        <f t="shared" si="6"/>
        <v>418500</v>
      </c>
      <c r="M22" s="57">
        <f t="shared" si="6"/>
        <v>472500</v>
      </c>
      <c r="N22" s="57">
        <f t="shared" si="6"/>
        <v>553500</v>
      </c>
      <c r="O22" s="57">
        <f t="shared" si="6"/>
        <v>634500</v>
      </c>
      <c r="P22" s="57">
        <f t="shared" si="6"/>
        <v>715500</v>
      </c>
      <c r="Q22" s="57">
        <f t="shared" si="6"/>
        <v>796500</v>
      </c>
      <c r="R22" s="57">
        <f t="shared" si="6"/>
        <v>877500</v>
      </c>
      <c r="S22" s="57">
        <f t="shared" si="6"/>
        <v>958500</v>
      </c>
      <c r="T22" s="57">
        <f t="shared" si="6"/>
        <v>1066500</v>
      </c>
      <c r="U22" s="57">
        <f t="shared" si="6"/>
        <v>1174500</v>
      </c>
      <c r="V22" s="57">
        <f t="shared" si="6"/>
        <v>1282500</v>
      </c>
      <c r="W22" s="57">
        <f t="shared" si="6"/>
        <v>1390500</v>
      </c>
      <c r="X22" s="57">
        <f t="shared" si="6"/>
        <v>1498500</v>
      </c>
      <c r="Y22" s="57">
        <f t="shared" si="6"/>
        <v>1606500</v>
      </c>
      <c r="Z22" s="63"/>
      <c r="AB22" s="37"/>
    </row>
    <row r="23" ht="15" customHeight="1">
      <c r="A23" s="56" t="s">
        <v>310</v>
      </c>
      <c r="B23" s="57">
        <f t="shared" si="7" ref="B23:Y23">B21/B55</f>
        <v>3000</v>
      </c>
      <c r="C23" s="57">
        <f t="shared" si="7"/>
        <v>3000</v>
      </c>
      <c r="D23" s="57">
        <f t="shared" si="7"/>
        <v>3000</v>
      </c>
      <c r="E23" s="57">
        <f t="shared" si="7"/>
        <v>5250</v>
      </c>
      <c r="F23" s="57">
        <f t="shared" si="7"/>
        <v>5250</v>
      </c>
      <c r="G23" s="57">
        <f t="shared" si="7"/>
        <v>5250</v>
      </c>
      <c r="H23" s="57">
        <f t="shared" si="7"/>
        <v>9000</v>
      </c>
      <c r="I23" s="57">
        <f t="shared" si="7"/>
        <v>9000</v>
      </c>
      <c r="J23" s="57">
        <f t="shared" si="7"/>
        <v>9000</v>
      </c>
      <c r="K23" s="57">
        <f t="shared" si="7"/>
        <v>9000</v>
      </c>
      <c r="L23" s="57">
        <f t="shared" si="7"/>
        <v>9000</v>
      </c>
      <c r="M23" s="57">
        <f t="shared" si="7"/>
        <v>9000</v>
      </c>
      <c r="N23" s="57">
        <f t="shared" si="7"/>
        <v>13500</v>
      </c>
      <c r="O23" s="57">
        <f t="shared" si="7"/>
        <v>13500</v>
      </c>
      <c r="P23" s="57">
        <f t="shared" si="7"/>
        <v>13500</v>
      </c>
      <c r="Q23" s="57">
        <f t="shared" si="7"/>
        <v>13500</v>
      </c>
      <c r="R23" s="57">
        <f t="shared" si="7"/>
        <v>13500</v>
      </c>
      <c r="S23" s="57">
        <f t="shared" si="7"/>
        <v>13500</v>
      </c>
      <c r="T23" s="57">
        <f t="shared" si="7"/>
        <v>18000</v>
      </c>
      <c r="U23" s="57">
        <f t="shared" si="7"/>
        <v>18000</v>
      </c>
      <c r="V23" s="57">
        <f t="shared" si="7"/>
        <v>18000</v>
      </c>
      <c r="W23" s="57">
        <f t="shared" si="7"/>
        <v>18000</v>
      </c>
      <c r="X23" s="57">
        <f t="shared" si="7"/>
        <v>18000</v>
      </c>
      <c r="Y23" s="57">
        <f t="shared" si="7"/>
        <v>18000</v>
      </c>
      <c r="Z23" s="63"/>
      <c r="AB23" s="37"/>
    </row>
    <row r="24" ht="15" customHeight="1"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2"/>
    </row>
    <row r="25" ht="15.75" customHeight="1">
      <c r="A25" s="54" t="s">
        <v>311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2"/>
    </row>
    <row r="26" ht="15" customHeight="1">
      <c r="A26" s="56" t="s">
        <v>312</v>
      </c>
      <c r="B26" s="57">
        <v>1500</v>
      </c>
      <c r="C26" s="57">
        <v>1500</v>
      </c>
      <c r="D26" s="57">
        <v>1500</v>
      </c>
      <c r="E26" s="57">
        <v>1500</v>
      </c>
      <c r="F26" s="57">
        <v>1500</v>
      </c>
      <c r="G26" s="57">
        <v>1500</v>
      </c>
      <c r="H26" s="57">
        <v>1500</v>
      </c>
      <c r="I26" s="57">
        <v>1500</v>
      </c>
      <c r="J26" s="57">
        <v>1500</v>
      </c>
      <c r="K26" s="57">
        <v>1500</v>
      </c>
      <c r="L26" s="57">
        <v>1500</v>
      </c>
      <c r="M26" s="57">
        <v>1500</v>
      </c>
      <c r="N26" s="57">
        <v>1500</v>
      </c>
      <c r="O26" s="57">
        <v>1500</v>
      </c>
      <c r="P26" s="57">
        <v>1500</v>
      </c>
      <c r="Q26" s="57">
        <v>1500</v>
      </c>
      <c r="R26" s="57">
        <v>1500</v>
      </c>
      <c r="S26" s="57">
        <v>1500</v>
      </c>
      <c r="T26" s="57">
        <v>1500</v>
      </c>
      <c r="U26" s="57">
        <v>1500</v>
      </c>
      <c r="V26" s="57">
        <v>1500</v>
      </c>
      <c r="W26" s="57">
        <v>1500</v>
      </c>
      <c r="X26" s="57">
        <v>1500</v>
      </c>
      <c r="Y26" s="57">
        <v>1500</v>
      </c>
      <c r="Z26" s="58"/>
    </row>
    <row r="27" ht="15" customHeight="1">
      <c r="A27" s="56" t="s">
        <v>313</v>
      </c>
      <c r="B27" s="57">
        <f t="shared" si="3"/>
        <v>27000000</v>
      </c>
      <c r="C27" s="57">
        <f t="shared" si="3"/>
        <v>27000000</v>
      </c>
      <c r="D27" s="57">
        <f t="shared" si="3"/>
        <v>27000000</v>
      </c>
      <c r="E27" s="57">
        <f t="shared" si="3"/>
        <v>47250000</v>
      </c>
      <c r="F27" s="57">
        <f t="shared" si="3"/>
        <v>47250000</v>
      </c>
      <c r="G27" s="57">
        <f t="shared" si="3"/>
        <v>47250000</v>
      </c>
      <c r="H27" s="57">
        <f t="shared" si="3"/>
        <v>81000000</v>
      </c>
      <c r="I27" s="57">
        <f t="shared" si="3"/>
        <v>81000000</v>
      </c>
      <c r="J27" s="57">
        <f t="shared" si="3"/>
        <v>81000000</v>
      </c>
      <c r="K27" s="57">
        <f t="shared" si="3"/>
        <v>81000000</v>
      </c>
      <c r="L27" s="57">
        <f t="shared" si="3"/>
        <v>81000000</v>
      </c>
      <c r="M27" s="57">
        <f t="shared" si="3"/>
        <v>81000000</v>
      </c>
      <c r="N27" s="57">
        <f t="shared" si="3"/>
        <v>121500000</v>
      </c>
      <c r="O27" s="57">
        <f t="shared" si="3"/>
        <v>121500000</v>
      </c>
      <c r="P27" s="57">
        <f t="shared" si="3"/>
        <v>121500000</v>
      </c>
      <c r="Q27" s="57">
        <f t="shared" si="3"/>
        <v>121500000</v>
      </c>
      <c r="R27" s="57">
        <f t="shared" si="3"/>
        <v>121500000</v>
      </c>
      <c r="S27" s="57">
        <f t="shared" si="3"/>
        <v>121500000</v>
      </c>
      <c r="T27" s="57">
        <f t="shared" si="3"/>
        <v>162000000</v>
      </c>
      <c r="U27" s="57">
        <f t="shared" si="3"/>
        <v>162000000</v>
      </c>
      <c r="V27" s="57">
        <f t="shared" si="3"/>
        <v>162000000</v>
      </c>
      <c r="W27" s="57">
        <f t="shared" si="3"/>
        <v>162000000</v>
      </c>
      <c r="X27" s="57">
        <f t="shared" si="3"/>
        <v>162000000</v>
      </c>
      <c r="Y27" s="57">
        <f t="shared" si="3"/>
        <v>162000000</v>
      </c>
      <c r="Z27" s="58">
        <f t="shared" si="5"/>
        <v>2409750000</v>
      </c>
    </row>
    <row r="28" ht="15" customHeight="1">
      <c r="A28" s="56" t="s">
        <v>314</v>
      </c>
      <c r="B28" s="64">
        <v>0.035</v>
      </c>
      <c r="C28" s="64">
        <v>0.035</v>
      </c>
      <c r="D28" s="64">
        <v>0.035</v>
      </c>
      <c r="E28" s="64">
        <v>0.035</v>
      </c>
      <c r="F28" s="64">
        <v>0.035</v>
      </c>
      <c r="G28" s="64">
        <v>0.035</v>
      </c>
      <c r="H28" s="64">
        <v>0.035</v>
      </c>
      <c r="I28" s="64">
        <v>0.035</v>
      </c>
      <c r="J28" s="64">
        <v>0.035</v>
      </c>
      <c r="K28" s="64">
        <v>0.035</v>
      </c>
      <c r="L28" s="64">
        <v>0.035</v>
      </c>
      <c r="M28" s="64">
        <v>0.035</v>
      </c>
      <c r="N28" s="64">
        <v>0.035</v>
      </c>
      <c r="O28" s="64">
        <v>0.035</v>
      </c>
      <c r="P28" s="64">
        <v>0.035</v>
      </c>
      <c r="Q28" s="64">
        <v>0.035</v>
      </c>
      <c r="R28" s="64">
        <v>0.035</v>
      </c>
      <c r="S28" s="64">
        <v>0.035</v>
      </c>
      <c r="T28" s="64">
        <v>0.035</v>
      </c>
      <c r="U28" s="64">
        <v>0.035</v>
      </c>
      <c r="V28" s="64">
        <v>0.035</v>
      </c>
      <c r="W28" s="64">
        <v>0.035</v>
      </c>
      <c r="X28" s="64">
        <v>0.035</v>
      </c>
      <c r="Y28" s="64">
        <v>0.035</v>
      </c>
      <c r="Z28" s="63"/>
      <c r="AB28" s="37"/>
    </row>
    <row r="29" ht="15" customHeight="1">
      <c r="A29" s="56" t="s">
        <v>315</v>
      </c>
      <c r="B29" s="57">
        <f t="shared" si="8" ref="B29:Y36">B27*B28</f>
        <v>945000</v>
      </c>
      <c r="C29" s="57">
        <f t="shared" si="8"/>
        <v>945000</v>
      </c>
      <c r="D29" s="57">
        <f t="shared" si="8"/>
        <v>945000</v>
      </c>
      <c r="E29" s="57">
        <f t="shared" si="8"/>
        <v>1653750</v>
      </c>
      <c r="F29" s="57">
        <f t="shared" si="8"/>
        <v>1653750</v>
      </c>
      <c r="G29" s="57">
        <f t="shared" si="8"/>
        <v>1653750</v>
      </c>
      <c r="H29" s="57">
        <f t="shared" si="8"/>
        <v>2835000</v>
      </c>
      <c r="I29" s="57">
        <f t="shared" si="8"/>
        <v>2835000</v>
      </c>
      <c r="J29" s="57">
        <f t="shared" si="8"/>
        <v>2835000</v>
      </c>
      <c r="K29" s="57">
        <f t="shared" si="8"/>
        <v>2835000</v>
      </c>
      <c r="L29" s="57">
        <f t="shared" si="8"/>
        <v>2835000</v>
      </c>
      <c r="M29" s="57">
        <f t="shared" si="8"/>
        <v>2835000</v>
      </c>
      <c r="N29" s="57">
        <f t="shared" si="8"/>
        <v>4252500</v>
      </c>
      <c r="O29" s="57">
        <f t="shared" si="8"/>
        <v>4252500</v>
      </c>
      <c r="P29" s="57">
        <f t="shared" si="8"/>
        <v>4252500</v>
      </c>
      <c r="Q29" s="57">
        <f t="shared" si="8"/>
        <v>4252500</v>
      </c>
      <c r="R29" s="57">
        <f t="shared" si="8"/>
        <v>4252500</v>
      </c>
      <c r="S29" s="57">
        <f t="shared" si="8"/>
        <v>4252500</v>
      </c>
      <c r="T29" s="57">
        <f t="shared" si="8"/>
        <v>5670000</v>
      </c>
      <c r="U29" s="57">
        <f t="shared" si="8"/>
        <v>5670000</v>
      </c>
      <c r="V29" s="57">
        <f t="shared" si="8"/>
        <v>5670000</v>
      </c>
      <c r="W29" s="57">
        <f t="shared" si="8"/>
        <v>5670000</v>
      </c>
      <c r="X29" s="57">
        <f t="shared" si="8"/>
        <v>5670000</v>
      </c>
      <c r="Y29" s="57">
        <f t="shared" si="8"/>
        <v>5670000</v>
      </c>
      <c r="Z29" s="63"/>
      <c r="AB29" s="37"/>
    </row>
    <row r="30" ht="15" customHeight="1">
      <c r="A30" s="56" t="s">
        <v>316</v>
      </c>
      <c r="B30" s="57">
        <f t="shared" si="9" ref="B30:Y30">B29*0.08</f>
        <v>75600</v>
      </c>
      <c r="C30" s="57">
        <f t="shared" si="9"/>
        <v>75600</v>
      </c>
      <c r="D30" s="57">
        <f t="shared" si="9"/>
        <v>75600</v>
      </c>
      <c r="E30" s="57">
        <f t="shared" si="9"/>
        <v>132300</v>
      </c>
      <c r="F30" s="57">
        <f t="shared" si="9"/>
        <v>132300</v>
      </c>
      <c r="G30" s="57">
        <f t="shared" si="9"/>
        <v>132300</v>
      </c>
      <c r="H30" s="57">
        <f t="shared" si="9"/>
        <v>226800</v>
      </c>
      <c r="I30" s="57">
        <f t="shared" si="9"/>
        <v>226800</v>
      </c>
      <c r="J30" s="57">
        <f t="shared" si="9"/>
        <v>226800</v>
      </c>
      <c r="K30" s="57">
        <f t="shared" si="9"/>
        <v>226800</v>
      </c>
      <c r="L30" s="57">
        <f t="shared" si="9"/>
        <v>226800</v>
      </c>
      <c r="M30" s="57">
        <f t="shared" si="9"/>
        <v>226800</v>
      </c>
      <c r="N30" s="57">
        <f t="shared" si="9"/>
        <v>340200</v>
      </c>
      <c r="O30" s="57">
        <f t="shared" si="9"/>
        <v>340200</v>
      </c>
      <c r="P30" s="57">
        <f t="shared" si="9"/>
        <v>340200</v>
      </c>
      <c r="Q30" s="57">
        <f t="shared" si="9"/>
        <v>340200</v>
      </c>
      <c r="R30" s="57">
        <f t="shared" si="9"/>
        <v>340200</v>
      </c>
      <c r="S30" s="57">
        <f t="shared" si="9"/>
        <v>340200</v>
      </c>
      <c r="T30" s="57">
        <f t="shared" si="9"/>
        <v>453600</v>
      </c>
      <c r="U30" s="57">
        <f t="shared" si="9"/>
        <v>453600</v>
      </c>
      <c r="V30" s="57">
        <f t="shared" si="9"/>
        <v>453600</v>
      </c>
      <c r="W30" s="57">
        <f t="shared" si="9"/>
        <v>453600</v>
      </c>
      <c r="X30" s="57">
        <f t="shared" si="9"/>
        <v>453600</v>
      </c>
      <c r="Y30" s="57">
        <f t="shared" si="9"/>
        <v>453600</v>
      </c>
      <c r="Z30" s="63"/>
      <c r="AB30" s="37"/>
    </row>
    <row r="31" ht="15" customHeight="1">
      <c r="A31" s="56" t="s">
        <v>317</v>
      </c>
      <c r="B31" s="57">
        <f t="shared" si="10"/>
        <v>75600</v>
      </c>
      <c r="C31" s="57">
        <f t="shared" si="10"/>
        <v>75600</v>
      </c>
      <c r="D31" s="57">
        <f t="shared" si="10"/>
        <v>75600</v>
      </c>
      <c r="E31" s="57">
        <f t="shared" si="10"/>
        <v>132300</v>
      </c>
      <c r="F31" s="57">
        <f t="shared" si="10"/>
        <v>132300</v>
      </c>
      <c r="G31" s="57">
        <f t="shared" si="10"/>
        <v>132300</v>
      </c>
      <c r="H31" s="57">
        <f t="shared" si="10"/>
        <v>226800</v>
      </c>
      <c r="I31" s="57">
        <f t="shared" si="10"/>
        <v>226800</v>
      </c>
      <c r="J31" s="57">
        <f t="shared" si="10"/>
        <v>226800</v>
      </c>
      <c r="K31" s="57">
        <f t="shared" si="10"/>
        <v>226800</v>
      </c>
      <c r="L31" s="57">
        <f t="shared" si="10"/>
        <v>226800</v>
      </c>
      <c r="M31" s="57">
        <f t="shared" si="10"/>
        <v>226800</v>
      </c>
      <c r="N31" s="57">
        <f t="shared" si="10"/>
        <v>340200</v>
      </c>
      <c r="O31" s="57">
        <f t="shared" si="10"/>
        <v>340200</v>
      </c>
      <c r="P31" s="57">
        <f t="shared" si="10"/>
        <v>340200</v>
      </c>
      <c r="Q31" s="57">
        <f t="shared" si="10"/>
        <v>340200</v>
      </c>
      <c r="R31" s="57">
        <f t="shared" si="10"/>
        <v>340200</v>
      </c>
      <c r="S31" s="57">
        <f t="shared" si="10"/>
        <v>340200</v>
      </c>
      <c r="T31" s="57">
        <f t="shared" si="10"/>
        <v>453600</v>
      </c>
      <c r="U31" s="57">
        <f t="shared" si="10"/>
        <v>453600</v>
      </c>
      <c r="V31" s="57">
        <f t="shared" si="10"/>
        <v>453600</v>
      </c>
      <c r="W31" s="57">
        <f t="shared" si="10"/>
        <v>453600</v>
      </c>
      <c r="X31" s="57">
        <f t="shared" si="10"/>
        <v>453600</v>
      </c>
      <c r="Y31" s="57">
        <f t="shared" si="10"/>
        <v>453600</v>
      </c>
      <c r="Z31" s="63">
        <f t="shared" si="5"/>
        <v>6747300</v>
      </c>
      <c r="AB31" s="37"/>
    </row>
    <row r="32" ht="15" customHeight="1"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2"/>
    </row>
    <row r="33" ht="15.75" customHeight="1">
      <c r="A33" s="54" t="s">
        <v>318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</row>
    <row r="34" ht="15" customHeight="1">
      <c r="A34" s="56" t="s">
        <v>317</v>
      </c>
      <c r="B34" s="57">
        <f t="shared" si="11" ref="B34:Y34">B31</f>
        <v>75600</v>
      </c>
      <c r="C34" s="57">
        <f t="shared" si="11"/>
        <v>75600</v>
      </c>
      <c r="D34" s="57">
        <f t="shared" si="11"/>
        <v>75600</v>
      </c>
      <c r="E34" s="57">
        <f t="shared" si="11"/>
        <v>132300</v>
      </c>
      <c r="F34" s="57">
        <f t="shared" si="11"/>
        <v>132300</v>
      </c>
      <c r="G34" s="57">
        <f t="shared" si="11"/>
        <v>132300</v>
      </c>
      <c r="H34" s="57">
        <f t="shared" si="11"/>
        <v>226800</v>
      </c>
      <c r="I34" s="57">
        <f t="shared" si="11"/>
        <v>226800</v>
      </c>
      <c r="J34" s="57">
        <f t="shared" si="11"/>
        <v>226800</v>
      </c>
      <c r="K34" s="57">
        <f t="shared" si="11"/>
        <v>226800</v>
      </c>
      <c r="L34" s="57">
        <f t="shared" si="11"/>
        <v>226800</v>
      </c>
      <c r="M34" s="57">
        <f t="shared" si="11"/>
        <v>226800</v>
      </c>
      <c r="N34" s="57">
        <f t="shared" si="11"/>
        <v>340200</v>
      </c>
      <c r="O34" s="57">
        <f t="shared" si="11"/>
        <v>340200</v>
      </c>
      <c r="P34" s="57">
        <f t="shared" si="11"/>
        <v>340200</v>
      </c>
      <c r="Q34" s="57">
        <f t="shared" si="11"/>
        <v>340200</v>
      </c>
      <c r="R34" s="57">
        <f t="shared" si="11"/>
        <v>340200</v>
      </c>
      <c r="S34" s="57">
        <f t="shared" si="11"/>
        <v>340200</v>
      </c>
      <c r="T34" s="57">
        <f t="shared" si="11"/>
        <v>453600</v>
      </c>
      <c r="U34" s="57">
        <f t="shared" si="11"/>
        <v>453600</v>
      </c>
      <c r="V34" s="57">
        <f t="shared" si="11"/>
        <v>453600</v>
      </c>
      <c r="W34" s="57">
        <f t="shared" si="11"/>
        <v>453600</v>
      </c>
      <c r="X34" s="57">
        <f t="shared" si="11"/>
        <v>453600</v>
      </c>
      <c r="Y34" s="57">
        <f t="shared" si="11"/>
        <v>453600</v>
      </c>
      <c r="Z34" s="58"/>
    </row>
    <row r="35" ht="15" customHeight="1">
      <c r="A35" s="56" t="s">
        <v>319</v>
      </c>
      <c r="B35" s="65">
        <f>Assumptions!$B$30</f>
        <v>0.015</v>
      </c>
      <c r="C35" s="65">
        <f>Assumptions!$B$30</f>
        <v>0.015</v>
      </c>
      <c r="D35" s="65">
        <f>Assumptions!$B$30</f>
        <v>0.015</v>
      </c>
      <c r="E35" s="65">
        <f>Assumptions!$B$30</f>
        <v>0.015</v>
      </c>
      <c r="F35" s="65">
        <f>Assumptions!$B$30</f>
        <v>0.015</v>
      </c>
      <c r="G35" s="65">
        <f>Assumptions!$B$30</f>
        <v>0.015</v>
      </c>
      <c r="H35" s="65">
        <f>Assumptions!$B$30</f>
        <v>0.015</v>
      </c>
      <c r="I35" s="65">
        <f>Assumptions!$B$30</f>
        <v>0.015</v>
      </c>
      <c r="J35" s="65">
        <f>Assumptions!$B$30</f>
        <v>0.015</v>
      </c>
      <c r="K35" s="65">
        <f>Assumptions!$B$30</f>
        <v>0.015</v>
      </c>
      <c r="L35" s="65">
        <f>Assumptions!$B$30</f>
        <v>0.015</v>
      </c>
      <c r="M35" s="65">
        <f>Assumptions!$B$30</f>
        <v>0.015</v>
      </c>
      <c r="N35" s="65">
        <f>Assumptions!$B$30</f>
        <v>0.015</v>
      </c>
      <c r="O35" s="65">
        <f>Assumptions!$B$30</f>
        <v>0.015</v>
      </c>
      <c r="P35" s="65">
        <f>Assumptions!$B$30</f>
        <v>0.015</v>
      </c>
      <c r="Q35" s="65">
        <f>Assumptions!$B$30</f>
        <v>0.015</v>
      </c>
      <c r="R35" s="65">
        <f>Assumptions!$B$30</f>
        <v>0.015</v>
      </c>
      <c r="S35" s="65">
        <f>Assumptions!$B$30</f>
        <v>0.015</v>
      </c>
      <c r="T35" s="65">
        <f>Assumptions!$B$30</f>
        <v>0.015</v>
      </c>
      <c r="U35" s="65">
        <f>Assumptions!$B$30</f>
        <v>0.015</v>
      </c>
      <c r="V35" s="65">
        <f>Assumptions!$B$30</f>
        <v>0.015</v>
      </c>
      <c r="W35" s="65">
        <f>Assumptions!$B$30</f>
        <v>0.015</v>
      </c>
      <c r="X35" s="65">
        <f>Assumptions!$B$30</f>
        <v>0.015</v>
      </c>
      <c r="Y35" s="65">
        <f>Assumptions!$B$30</f>
        <v>0.015</v>
      </c>
      <c r="Z35" s="62"/>
    </row>
    <row r="36" ht="15" customHeight="1">
      <c r="A36" s="56" t="s">
        <v>320</v>
      </c>
      <c r="B36" s="59">
        <f t="shared" si="8"/>
        <v>1134</v>
      </c>
      <c r="C36" s="57">
        <f t="shared" si="8"/>
        <v>1134</v>
      </c>
      <c r="D36" s="57">
        <f t="shared" si="8"/>
        <v>1134</v>
      </c>
      <c r="E36" s="57">
        <f t="shared" si="8"/>
        <v>1984.5</v>
      </c>
      <c r="F36" s="57">
        <f t="shared" si="8"/>
        <v>1984.5</v>
      </c>
      <c r="G36" s="57">
        <f t="shared" si="8"/>
        <v>1984.5</v>
      </c>
      <c r="H36" s="57">
        <f t="shared" si="8"/>
        <v>3402</v>
      </c>
      <c r="I36" s="57">
        <f t="shared" si="8"/>
        <v>3402</v>
      </c>
      <c r="J36" s="57">
        <f t="shared" si="8"/>
        <v>3402</v>
      </c>
      <c r="K36" s="57">
        <f t="shared" si="8"/>
        <v>3402</v>
      </c>
      <c r="L36" s="57">
        <f t="shared" si="8"/>
        <v>3402</v>
      </c>
      <c r="M36" s="57">
        <f t="shared" si="8"/>
        <v>3402</v>
      </c>
      <c r="N36" s="57">
        <f t="shared" si="8"/>
        <v>5103</v>
      </c>
      <c r="O36" s="57">
        <f t="shared" si="8"/>
        <v>5103</v>
      </c>
      <c r="P36" s="57">
        <f t="shared" si="8"/>
        <v>5103</v>
      </c>
      <c r="Q36" s="57">
        <f t="shared" si="8"/>
        <v>5103</v>
      </c>
      <c r="R36" s="57">
        <f t="shared" si="8"/>
        <v>5103</v>
      </c>
      <c r="S36" s="57">
        <f t="shared" si="8"/>
        <v>5103</v>
      </c>
      <c r="T36" s="57">
        <f t="shared" si="8"/>
        <v>6804</v>
      </c>
      <c r="U36" s="57">
        <f t="shared" si="8"/>
        <v>6804</v>
      </c>
      <c r="V36" s="57">
        <f t="shared" si="8"/>
        <v>6804</v>
      </c>
      <c r="W36" s="57">
        <f t="shared" si="8"/>
        <v>6804</v>
      </c>
      <c r="X36" s="57">
        <f t="shared" si="8"/>
        <v>6804</v>
      </c>
      <c r="Y36" s="57">
        <f t="shared" si="8"/>
        <v>6804</v>
      </c>
      <c r="Z36" s="63">
        <f t="shared" si="5"/>
        <v>101209.5</v>
      </c>
    </row>
    <row r="37" ht="15" customHeight="1">
      <c r="A37" s="56" t="s">
        <v>321</v>
      </c>
      <c r="B37" s="59">
        <f t="shared" si="10"/>
        <v>1134</v>
      </c>
      <c r="C37" s="57">
        <f t="shared" si="6"/>
        <v>2268</v>
      </c>
      <c r="D37" s="57">
        <f t="shared" si="6"/>
        <v>3402</v>
      </c>
      <c r="E37" s="57">
        <f t="shared" si="6"/>
        <v>5386.5</v>
      </c>
      <c r="F37" s="57">
        <f t="shared" si="6"/>
        <v>7371</v>
      </c>
      <c r="G37" s="57">
        <f t="shared" si="6"/>
        <v>9355.5</v>
      </c>
      <c r="H37" s="57">
        <f t="shared" si="6"/>
        <v>12757.5</v>
      </c>
      <c r="I37" s="57">
        <f t="shared" si="6"/>
        <v>16159.5</v>
      </c>
      <c r="J37" s="57">
        <f t="shared" si="6"/>
        <v>19561.5</v>
      </c>
      <c r="K37" s="57">
        <f t="shared" si="6"/>
        <v>22963.5</v>
      </c>
      <c r="L37" s="57">
        <f t="shared" si="6"/>
        <v>26365.5</v>
      </c>
      <c r="M37" s="57">
        <f t="shared" si="6"/>
        <v>29767.5</v>
      </c>
      <c r="N37" s="57">
        <f t="shared" si="6"/>
        <v>34870.5</v>
      </c>
      <c r="O37" s="57">
        <f t="shared" si="6"/>
        <v>39973.5</v>
      </c>
      <c r="P37" s="57">
        <f t="shared" si="6"/>
        <v>45076.5</v>
      </c>
      <c r="Q37" s="57">
        <f t="shared" si="6"/>
        <v>50179.5</v>
      </c>
      <c r="R37" s="57">
        <f t="shared" si="6"/>
        <v>55282.5</v>
      </c>
      <c r="S37" s="57">
        <f t="shared" si="6"/>
        <v>60385.5</v>
      </c>
      <c r="T37" s="57">
        <f t="shared" si="6"/>
        <v>67189.5</v>
      </c>
      <c r="U37" s="57">
        <f t="shared" si="6"/>
        <v>73993.5</v>
      </c>
      <c r="V37" s="57">
        <f t="shared" si="6"/>
        <v>80797.5</v>
      </c>
      <c r="W37" s="57">
        <f t="shared" si="6"/>
        <v>87601.5</v>
      </c>
      <c r="X37" s="57">
        <f t="shared" si="6"/>
        <v>94405.5</v>
      </c>
      <c r="Y37" s="57">
        <f t="shared" si="6"/>
        <v>101209.5</v>
      </c>
      <c r="Z37" s="63"/>
    </row>
    <row r="38" ht="15" customHeight="1">
      <c r="B38" s="59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3"/>
    </row>
    <row r="39" ht="15" customHeight="1">
      <c r="A39" s="56" t="s">
        <v>322</v>
      </c>
      <c r="B39" s="59">
        <f>Assumptions!$B$31</f>
        <v>0.3</v>
      </c>
      <c r="C39" s="65">
        <f>Assumptions!$B$31</f>
        <v>0.3</v>
      </c>
      <c r="D39" s="65">
        <f>Assumptions!$B$31</f>
        <v>0.3</v>
      </c>
      <c r="E39" s="65">
        <f>Assumptions!$B$31</f>
        <v>0.3</v>
      </c>
      <c r="F39" s="65">
        <f>Assumptions!$B$31</f>
        <v>0.3</v>
      </c>
      <c r="G39" s="65">
        <f>Assumptions!$B$31</f>
        <v>0.3</v>
      </c>
      <c r="H39" s="65">
        <f>Assumptions!$B$31</f>
        <v>0.3</v>
      </c>
      <c r="I39" s="65">
        <f>Assumptions!$B$31</f>
        <v>0.3</v>
      </c>
      <c r="J39" s="65">
        <f>Assumptions!$B$31</f>
        <v>0.3</v>
      </c>
      <c r="K39" s="65">
        <f>Assumptions!$B$31</f>
        <v>0.3</v>
      </c>
      <c r="L39" s="65">
        <f>Assumptions!$B$31</f>
        <v>0.3</v>
      </c>
      <c r="M39" s="65">
        <f>Assumptions!$B$31</f>
        <v>0.3</v>
      </c>
      <c r="N39" s="65">
        <f>Assumptions!$B$31</f>
        <v>0.3</v>
      </c>
      <c r="O39" s="65">
        <f>Assumptions!$B$31</f>
        <v>0.3</v>
      </c>
      <c r="P39" s="65">
        <f>Assumptions!$B$31</f>
        <v>0.3</v>
      </c>
      <c r="Q39" s="65">
        <f>Assumptions!$B$31</f>
        <v>0.3</v>
      </c>
      <c r="R39" s="65">
        <f>Assumptions!$B$31</f>
        <v>0.3</v>
      </c>
      <c r="S39" s="65">
        <f>Assumptions!$B$31</f>
        <v>0.3</v>
      </c>
      <c r="T39" s="65">
        <f>Assumptions!$B$31</f>
        <v>0.3</v>
      </c>
      <c r="U39" s="65">
        <f>Assumptions!$B$31</f>
        <v>0.3</v>
      </c>
      <c r="V39" s="65">
        <f>Assumptions!$B$31</f>
        <v>0.3</v>
      </c>
      <c r="W39" s="65">
        <f>Assumptions!$B$31</f>
        <v>0.3</v>
      </c>
      <c r="X39" s="65">
        <f>Assumptions!$B$31</f>
        <v>0.3</v>
      </c>
      <c r="Y39" s="65">
        <f>Assumptions!$B$31</f>
        <v>0.3</v>
      </c>
      <c r="Z39" s="63"/>
    </row>
    <row r="40" ht="15" customHeight="1">
      <c r="A40" s="56" t="s">
        <v>323</v>
      </c>
      <c r="B40" s="59">
        <f t="shared" si="12" ref="B40:Y40">B36*B39</f>
        <v>340.2</v>
      </c>
      <c r="C40" s="57">
        <f t="shared" si="12"/>
        <v>340.2</v>
      </c>
      <c r="D40" s="57">
        <f t="shared" si="12"/>
        <v>340.2</v>
      </c>
      <c r="E40" s="57">
        <f t="shared" si="12"/>
        <v>595.35</v>
      </c>
      <c r="F40" s="57">
        <f t="shared" si="12"/>
        <v>595.35</v>
      </c>
      <c r="G40" s="57">
        <f t="shared" si="12"/>
        <v>595.35</v>
      </c>
      <c r="H40" s="57">
        <f t="shared" si="12"/>
        <v>1020.6</v>
      </c>
      <c r="I40" s="57">
        <f t="shared" si="12"/>
        <v>1020.6</v>
      </c>
      <c r="J40" s="57">
        <f t="shared" si="12"/>
        <v>1020.6</v>
      </c>
      <c r="K40" s="57">
        <f t="shared" si="12"/>
        <v>1020.6</v>
      </c>
      <c r="L40" s="57">
        <f t="shared" si="12"/>
        <v>1020.6</v>
      </c>
      <c r="M40" s="57">
        <f t="shared" si="12"/>
        <v>1020.6</v>
      </c>
      <c r="N40" s="57">
        <f t="shared" si="12"/>
        <v>1530.9</v>
      </c>
      <c r="O40" s="57">
        <f t="shared" si="12"/>
        <v>1530.9</v>
      </c>
      <c r="P40" s="57">
        <f t="shared" si="12"/>
        <v>1530.9</v>
      </c>
      <c r="Q40" s="57">
        <f t="shared" si="12"/>
        <v>1530.9</v>
      </c>
      <c r="R40" s="57">
        <f t="shared" si="12"/>
        <v>1530.9</v>
      </c>
      <c r="S40" s="57">
        <f t="shared" si="12"/>
        <v>1530.9</v>
      </c>
      <c r="T40" s="57">
        <f t="shared" si="12"/>
        <v>2041.2</v>
      </c>
      <c r="U40" s="57">
        <f t="shared" si="12"/>
        <v>2041.2</v>
      </c>
      <c r="V40" s="57">
        <f t="shared" si="12"/>
        <v>2041.2</v>
      </c>
      <c r="W40" s="57">
        <f t="shared" si="12"/>
        <v>2041.2</v>
      </c>
      <c r="X40" s="57">
        <f t="shared" si="12"/>
        <v>2041.2</v>
      </c>
      <c r="Y40" s="57">
        <f t="shared" si="12"/>
        <v>2041.2</v>
      </c>
      <c r="Z40" s="63">
        <f t="shared" si="5"/>
        <v>30362.85</v>
      </c>
    </row>
    <row r="41" ht="15" customHeight="1">
      <c r="A41" s="56" t="s">
        <v>324</v>
      </c>
      <c r="B41" s="59">
        <f t="shared" si="10"/>
        <v>340.2</v>
      </c>
      <c r="C41" s="57">
        <f t="shared" si="6"/>
        <v>680.4</v>
      </c>
      <c r="D41" s="57">
        <f t="shared" si="6"/>
        <v>1020.6</v>
      </c>
      <c r="E41" s="57">
        <f t="shared" si="6"/>
        <v>1615.95</v>
      </c>
      <c r="F41" s="57">
        <f t="shared" si="6"/>
        <v>2211.3</v>
      </c>
      <c r="G41" s="57">
        <f t="shared" si="6"/>
        <v>2806.65</v>
      </c>
      <c r="H41" s="57">
        <f t="shared" si="6"/>
        <v>3827.25</v>
      </c>
      <c r="I41" s="57">
        <f t="shared" si="6"/>
        <v>4847.85</v>
      </c>
      <c r="J41" s="57">
        <f t="shared" si="6"/>
        <v>5868.45</v>
      </c>
      <c r="K41" s="57">
        <f t="shared" si="6"/>
        <v>6889.05</v>
      </c>
      <c r="L41" s="57">
        <f t="shared" si="6"/>
        <v>7909.65</v>
      </c>
      <c r="M41" s="57">
        <f t="shared" si="6"/>
        <v>8930.25</v>
      </c>
      <c r="N41" s="57">
        <f t="shared" si="6"/>
        <v>10461.15</v>
      </c>
      <c r="O41" s="57">
        <f t="shared" si="6"/>
        <v>11992.05</v>
      </c>
      <c r="P41" s="57">
        <f t="shared" si="6"/>
        <v>13522.95</v>
      </c>
      <c r="Q41" s="57">
        <f t="shared" si="6"/>
        <v>15053.85</v>
      </c>
      <c r="R41" s="57">
        <f t="shared" si="6"/>
        <v>16584.75</v>
      </c>
      <c r="S41" s="57">
        <f t="shared" si="6"/>
        <v>18115.65</v>
      </c>
      <c r="T41" s="57">
        <f t="shared" si="6"/>
        <v>20156.85</v>
      </c>
      <c r="U41" s="57">
        <f t="shared" si="6"/>
        <v>22198.05</v>
      </c>
      <c r="V41" s="57">
        <f t="shared" si="6"/>
        <v>24239.25</v>
      </c>
      <c r="W41" s="57">
        <f t="shared" si="6"/>
        <v>26280.45</v>
      </c>
      <c r="X41" s="57">
        <f t="shared" si="6"/>
        <v>28321.65</v>
      </c>
      <c r="Y41" s="57">
        <f t="shared" si="6"/>
        <v>30362.85</v>
      </c>
      <c r="Z41" s="63"/>
    </row>
    <row r="42" ht="15" customHeight="1">
      <c r="B42" s="59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3"/>
    </row>
    <row r="43" ht="15" customHeight="1">
      <c r="A43" s="56" t="s">
        <v>325</v>
      </c>
      <c r="B43" s="59">
        <f>Assumptions!$B$32</f>
        <v>0.125</v>
      </c>
      <c r="C43" s="65">
        <f>Assumptions!$B$32</f>
        <v>0.125</v>
      </c>
      <c r="D43" s="65">
        <f>Assumptions!$B$32</f>
        <v>0.125</v>
      </c>
      <c r="E43" s="65">
        <f>Assumptions!$B$32</f>
        <v>0.125</v>
      </c>
      <c r="F43" s="65">
        <f>Assumptions!$B$32</f>
        <v>0.125</v>
      </c>
      <c r="G43" s="65">
        <f>Assumptions!$B$32</f>
        <v>0.125</v>
      </c>
      <c r="H43" s="65">
        <f>Assumptions!$B$32</f>
        <v>0.125</v>
      </c>
      <c r="I43" s="65">
        <f>Assumptions!$B$32</f>
        <v>0.125</v>
      </c>
      <c r="J43" s="65">
        <f>Assumptions!$B$32</f>
        <v>0.125</v>
      </c>
      <c r="K43" s="65">
        <f>Assumptions!$B$32</f>
        <v>0.125</v>
      </c>
      <c r="L43" s="65">
        <f>Assumptions!$B$32</f>
        <v>0.125</v>
      </c>
      <c r="M43" s="65">
        <f>Assumptions!$B$32</f>
        <v>0.125</v>
      </c>
      <c r="N43" s="65">
        <f>Assumptions!$B$32</f>
        <v>0.125</v>
      </c>
      <c r="O43" s="65">
        <f>Assumptions!$B$32</f>
        <v>0.125</v>
      </c>
      <c r="P43" s="65">
        <f>Assumptions!$B$32</f>
        <v>0.125</v>
      </c>
      <c r="Q43" s="65">
        <f>Assumptions!$B$32</f>
        <v>0.125</v>
      </c>
      <c r="R43" s="65">
        <f>Assumptions!$B$32</f>
        <v>0.125</v>
      </c>
      <c r="S43" s="65">
        <f>Assumptions!$B$32</f>
        <v>0.125</v>
      </c>
      <c r="T43" s="65">
        <f>Assumptions!$B$32</f>
        <v>0.125</v>
      </c>
      <c r="U43" s="65">
        <f>Assumptions!$B$32</f>
        <v>0.125</v>
      </c>
      <c r="V43" s="65">
        <f>Assumptions!$B$32</f>
        <v>0.125</v>
      </c>
      <c r="W43" s="65">
        <f>Assumptions!$B$32</f>
        <v>0.125</v>
      </c>
      <c r="X43" s="65">
        <f>Assumptions!$B$32</f>
        <v>0.125</v>
      </c>
      <c r="Y43" s="65">
        <f>Assumptions!$B$32</f>
        <v>0.125</v>
      </c>
      <c r="Z43" s="63"/>
    </row>
    <row r="44" ht="15" customHeight="1">
      <c r="A44" s="56" t="s">
        <v>326</v>
      </c>
      <c r="B44" s="59">
        <f t="shared" si="13" ref="B44:Y44">B36*B43</f>
        <v>141.75</v>
      </c>
      <c r="C44" s="57">
        <f t="shared" si="13"/>
        <v>141.75</v>
      </c>
      <c r="D44" s="57">
        <f t="shared" si="13"/>
        <v>141.75</v>
      </c>
      <c r="E44" s="57">
        <f t="shared" si="13"/>
        <v>248.0625</v>
      </c>
      <c r="F44" s="57">
        <f t="shared" si="13"/>
        <v>248.0625</v>
      </c>
      <c r="G44" s="57">
        <f t="shared" si="13"/>
        <v>248.0625</v>
      </c>
      <c r="H44" s="57">
        <f t="shared" si="13"/>
        <v>425.25</v>
      </c>
      <c r="I44" s="57">
        <f t="shared" si="13"/>
        <v>425.25</v>
      </c>
      <c r="J44" s="57">
        <f t="shared" si="13"/>
        <v>425.25</v>
      </c>
      <c r="K44" s="57">
        <f t="shared" si="13"/>
        <v>425.25</v>
      </c>
      <c r="L44" s="57">
        <f t="shared" si="13"/>
        <v>425.25</v>
      </c>
      <c r="M44" s="57">
        <f t="shared" si="13"/>
        <v>425.25</v>
      </c>
      <c r="N44" s="57">
        <f t="shared" si="13"/>
        <v>637.875</v>
      </c>
      <c r="O44" s="57">
        <f t="shared" si="13"/>
        <v>637.875</v>
      </c>
      <c r="P44" s="57">
        <f t="shared" si="13"/>
        <v>637.875</v>
      </c>
      <c r="Q44" s="57">
        <f t="shared" si="13"/>
        <v>637.875</v>
      </c>
      <c r="R44" s="57">
        <f t="shared" si="13"/>
        <v>637.875</v>
      </c>
      <c r="S44" s="57">
        <f t="shared" si="13"/>
        <v>637.875</v>
      </c>
      <c r="T44" s="57">
        <f t="shared" si="13"/>
        <v>850.5</v>
      </c>
      <c r="U44" s="57">
        <f t="shared" si="13"/>
        <v>850.5</v>
      </c>
      <c r="V44" s="57">
        <f t="shared" si="13"/>
        <v>850.5</v>
      </c>
      <c r="W44" s="57">
        <f t="shared" si="13"/>
        <v>850.5</v>
      </c>
      <c r="X44" s="57">
        <f t="shared" si="13"/>
        <v>850.5</v>
      </c>
      <c r="Y44" s="57">
        <f t="shared" si="13"/>
        <v>850.5</v>
      </c>
      <c r="Z44" s="63">
        <f t="shared" si="5"/>
        <v>12651.1875</v>
      </c>
    </row>
    <row r="45" ht="15" customHeight="1">
      <c r="A45" s="56" t="s">
        <v>327</v>
      </c>
      <c r="B45" s="57">
        <f t="shared" si="10"/>
        <v>141.75</v>
      </c>
      <c r="C45" s="57">
        <f t="shared" si="6"/>
        <v>283.5</v>
      </c>
      <c r="D45" s="57">
        <f t="shared" si="6"/>
        <v>425.25</v>
      </c>
      <c r="E45" s="57">
        <f t="shared" si="6"/>
        <v>673.3125</v>
      </c>
      <c r="F45" s="57">
        <f t="shared" si="6"/>
        <v>921.375</v>
      </c>
      <c r="G45" s="57">
        <f t="shared" si="6"/>
        <v>1169.4375</v>
      </c>
      <c r="H45" s="57">
        <f t="shared" si="6"/>
        <v>1594.6875</v>
      </c>
      <c r="I45" s="57">
        <f t="shared" si="6"/>
        <v>2019.9375</v>
      </c>
      <c r="J45" s="57">
        <f t="shared" si="6"/>
        <v>2445.1875</v>
      </c>
      <c r="K45" s="57">
        <f t="shared" si="6"/>
        <v>2870.4375</v>
      </c>
      <c r="L45" s="57">
        <f t="shared" si="6"/>
        <v>3295.6875</v>
      </c>
      <c r="M45" s="57">
        <f t="shared" si="6"/>
        <v>3720.9375</v>
      </c>
      <c r="N45" s="57">
        <f t="shared" si="6"/>
        <v>4358.8125</v>
      </c>
      <c r="O45" s="57">
        <f t="shared" si="6"/>
        <v>4996.6875</v>
      </c>
      <c r="P45" s="57">
        <f t="shared" si="6"/>
        <v>5634.5625</v>
      </c>
      <c r="Q45" s="57">
        <f t="shared" si="6"/>
        <v>6272.4375</v>
      </c>
      <c r="R45" s="57">
        <f t="shared" si="6"/>
        <v>6910.3125</v>
      </c>
      <c r="S45" s="57">
        <f t="shared" si="6"/>
        <v>7548.1875</v>
      </c>
      <c r="T45" s="57">
        <f t="shared" si="6"/>
        <v>8398.6875</v>
      </c>
      <c r="U45" s="57">
        <f t="shared" si="6"/>
        <v>9249.1875</v>
      </c>
      <c r="V45" s="57">
        <f t="shared" si="6"/>
        <v>10099.6875</v>
      </c>
      <c r="W45" s="57">
        <f t="shared" si="6"/>
        <v>10950.1875</v>
      </c>
      <c r="X45" s="57">
        <f t="shared" si="6"/>
        <v>11800.6875</v>
      </c>
      <c r="Y45" s="57">
        <f t="shared" si="6"/>
        <v>12651.1875</v>
      </c>
      <c r="Z45" s="58"/>
    </row>
    <row r="46" ht="15" customHeight="1"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2"/>
    </row>
    <row r="47" ht="15" customHeight="1">
      <c r="A47" s="56" t="s">
        <v>328</v>
      </c>
      <c r="B47" s="57">
        <f t="shared" si="14" ref="B47:Y47">B36+B40+B44</f>
        <v>1615.95</v>
      </c>
      <c r="C47" s="57">
        <f t="shared" si="14"/>
        <v>1615.95</v>
      </c>
      <c r="D47" s="57">
        <f t="shared" si="14"/>
        <v>1615.95</v>
      </c>
      <c r="E47" s="57">
        <f t="shared" si="14"/>
        <v>2827.9125</v>
      </c>
      <c r="F47" s="57">
        <f t="shared" si="14"/>
        <v>2827.9125</v>
      </c>
      <c r="G47" s="57">
        <f t="shared" si="14"/>
        <v>2827.9125</v>
      </c>
      <c r="H47" s="57">
        <f t="shared" si="14"/>
        <v>4847.85</v>
      </c>
      <c r="I47" s="57">
        <f t="shared" si="14"/>
        <v>4847.85</v>
      </c>
      <c r="J47" s="57">
        <f t="shared" si="14"/>
        <v>4847.85</v>
      </c>
      <c r="K47" s="57">
        <f t="shared" si="14"/>
        <v>4847.85</v>
      </c>
      <c r="L47" s="57">
        <f t="shared" si="14"/>
        <v>4847.85</v>
      </c>
      <c r="M47" s="57">
        <f t="shared" si="14"/>
        <v>4847.85</v>
      </c>
      <c r="N47" s="57">
        <f t="shared" si="14"/>
        <v>7271.775</v>
      </c>
      <c r="O47" s="57">
        <f t="shared" si="14"/>
        <v>7271.775</v>
      </c>
      <c r="P47" s="57">
        <f t="shared" si="14"/>
        <v>7271.775</v>
      </c>
      <c r="Q47" s="57">
        <f t="shared" si="14"/>
        <v>7271.775</v>
      </c>
      <c r="R47" s="57">
        <f t="shared" si="14"/>
        <v>7271.775</v>
      </c>
      <c r="S47" s="57">
        <f t="shared" si="14"/>
        <v>7271.775</v>
      </c>
      <c r="T47" s="57">
        <f t="shared" si="14"/>
        <v>9695.7</v>
      </c>
      <c r="U47" s="57">
        <f t="shared" si="14"/>
        <v>9695.7</v>
      </c>
      <c r="V47" s="57">
        <f t="shared" si="14"/>
        <v>9695.7</v>
      </c>
      <c r="W47" s="57">
        <f t="shared" si="14"/>
        <v>9695.7</v>
      </c>
      <c r="X47" s="57">
        <f t="shared" si="14"/>
        <v>9695.7</v>
      </c>
      <c r="Y47" s="57">
        <f t="shared" si="14"/>
        <v>9695.7</v>
      </c>
      <c r="Z47" s="58">
        <f t="shared" si="5"/>
        <v>144223.5375</v>
      </c>
    </row>
    <row r="48" ht="15" customHeight="1">
      <c r="A48" s="56" t="s">
        <v>329</v>
      </c>
      <c r="B48" s="57">
        <f t="shared" si="10"/>
        <v>1615.95</v>
      </c>
      <c r="C48" s="57">
        <f t="shared" si="6"/>
        <v>3231.9</v>
      </c>
      <c r="D48" s="57">
        <f t="shared" si="6"/>
        <v>4847.85</v>
      </c>
      <c r="E48" s="57">
        <f t="shared" si="6"/>
        <v>7675.7625</v>
      </c>
      <c r="F48" s="57">
        <f t="shared" si="6"/>
        <v>10503.675</v>
      </c>
      <c r="G48" s="57">
        <f t="shared" si="6"/>
        <v>13331.5875</v>
      </c>
      <c r="H48" s="57">
        <f t="shared" si="6"/>
        <v>18179.4375</v>
      </c>
      <c r="I48" s="57">
        <f t="shared" si="6"/>
        <v>23027.2875</v>
      </c>
      <c r="J48" s="57">
        <f t="shared" si="6"/>
        <v>27875.1375</v>
      </c>
      <c r="K48" s="57">
        <f t="shared" si="6"/>
        <v>32722.9875</v>
      </c>
      <c r="L48" s="57">
        <f t="shared" si="6"/>
        <v>37570.8375</v>
      </c>
      <c r="M48" s="57">
        <f t="shared" si="6"/>
        <v>42418.6875</v>
      </c>
      <c r="N48" s="57">
        <f t="shared" si="6"/>
        <v>49690.4625</v>
      </c>
      <c r="O48" s="57">
        <f t="shared" si="6"/>
        <v>56962.2375</v>
      </c>
      <c r="P48" s="57">
        <f t="shared" si="6"/>
        <v>64234.0125</v>
      </c>
      <c r="Q48" s="57">
        <f t="shared" si="6"/>
        <v>71505.7875</v>
      </c>
      <c r="R48" s="57">
        <f t="shared" si="6"/>
        <v>78777.5625</v>
      </c>
      <c r="S48" s="57">
        <f t="shared" si="6"/>
        <v>86049.3375</v>
      </c>
      <c r="T48" s="57">
        <f t="shared" si="6"/>
        <v>95745.0375</v>
      </c>
      <c r="U48" s="57">
        <f t="shared" si="6"/>
        <v>105440.7375</v>
      </c>
      <c r="V48" s="57">
        <f t="shared" si="6"/>
        <v>115136.4375</v>
      </c>
      <c r="W48" s="57">
        <f t="shared" si="6"/>
        <v>124832.1375</v>
      </c>
      <c r="X48" s="57">
        <f t="shared" si="6"/>
        <v>134527.8375</v>
      </c>
      <c r="Y48" s="57">
        <f t="shared" si="6"/>
        <v>144223.5375</v>
      </c>
      <c r="Z48" s="58"/>
    </row>
    <row r="49" ht="15" customHeight="1"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2"/>
    </row>
    <row r="50" ht="15.75" customHeight="1">
      <c r="A50" s="54" t="s">
        <v>330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2"/>
    </row>
    <row r="51" ht="15" customHeight="1">
      <c r="A51" s="56" t="s">
        <v>331</v>
      </c>
      <c r="B51" s="59">
        <f t="shared" si="15" ref="B51:Y51">IF(B47=0,0,B21/B47)</f>
        <v>11.1389585073796</v>
      </c>
      <c r="C51" s="59">
        <f t="shared" si="15"/>
        <v>11.1389585073796</v>
      </c>
      <c r="D51" s="59">
        <f t="shared" si="15"/>
        <v>11.1389585073796</v>
      </c>
      <c r="E51" s="59">
        <f t="shared" si="15"/>
        <v>11.1389585073796</v>
      </c>
      <c r="F51" s="59">
        <f t="shared" si="15"/>
        <v>11.1389585073796</v>
      </c>
      <c r="G51" s="59">
        <f t="shared" si="15"/>
        <v>11.1389585073796</v>
      </c>
      <c r="H51" s="59">
        <f t="shared" si="15"/>
        <v>11.1389585073796</v>
      </c>
      <c r="I51" s="59">
        <f t="shared" si="15"/>
        <v>11.1389585073796</v>
      </c>
      <c r="J51" s="59">
        <f t="shared" si="15"/>
        <v>11.1389585073796</v>
      </c>
      <c r="K51" s="59">
        <f t="shared" si="15"/>
        <v>11.1389585073796</v>
      </c>
      <c r="L51" s="59">
        <f t="shared" si="15"/>
        <v>11.1389585073796</v>
      </c>
      <c r="M51" s="59">
        <f t="shared" si="15"/>
        <v>11.1389585073796</v>
      </c>
      <c r="N51" s="59">
        <f t="shared" si="15"/>
        <v>11.1389585073796</v>
      </c>
      <c r="O51" s="59">
        <f t="shared" si="15"/>
        <v>11.1389585073796</v>
      </c>
      <c r="P51" s="59">
        <f t="shared" si="15"/>
        <v>11.1389585073796</v>
      </c>
      <c r="Q51" s="59">
        <f t="shared" si="15"/>
        <v>11.1389585073796</v>
      </c>
      <c r="R51" s="59">
        <f t="shared" si="15"/>
        <v>11.1389585073796</v>
      </c>
      <c r="S51" s="59">
        <f t="shared" si="15"/>
        <v>11.1389585073796</v>
      </c>
      <c r="T51" s="59">
        <f t="shared" si="15"/>
        <v>11.1389585073796</v>
      </c>
      <c r="U51" s="59">
        <f t="shared" si="15"/>
        <v>11.1389585073796</v>
      </c>
      <c r="V51" s="59">
        <f t="shared" si="15"/>
        <v>11.1389585073796</v>
      </c>
      <c r="W51" s="59">
        <f t="shared" si="15"/>
        <v>11.1389585073796</v>
      </c>
      <c r="X51" s="59">
        <f t="shared" si="15"/>
        <v>11.1389585073796</v>
      </c>
      <c r="Y51" s="59">
        <f t="shared" si="15"/>
        <v>11.1389585073796</v>
      </c>
      <c r="Z51" s="63">
        <f t="shared" si="0"/>
        <v>11.1389585073796</v>
      </c>
    </row>
    <row r="52" ht="15" customHeight="1">
      <c r="A52" s="56" t="s">
        <v>332</v>
      </c>
      <c r="B52" s="59">
        <f t="shared" si="16" ref="B52:Y52">IF(B47=0,0,B14/B47)</f>
        <v>0.123766205637551</v>
      </c>
      <c r="C52" s="59">
        <f t="shared" si="16"/>
        <v>0.123766205637551</v>
      </c>
      <c r="D52" s="59">
        <f t="shared" si="16"/>
        <v>0.123766205637551</v>
      </c>
      <c r="E52" s="59">
        <f t="shared" si="16"/>
        <v>0.123766205637551</v>
      </c>
      <c r="F52" s="59">
        <f t="shared" si="16"/>
        <v>0.123766205637551</v>
      </c>
      <c r="G52" s="59">
        <f t="shared" si="16"/>
        <v>0.123766205637551</v>
      </c>
      <c r="H52" s="59">
        <f t="shared" si="16"/>
        <v>0.123766205637551</v>
      </c>
      <c r="I52" s="59">
        <f t="shared" si="16"/>
        <v>0.123766205637551</v>
      </c>
      <c r="J52" s="59">
        <f t="shared" si="16"/>
        <v>0.123766205637551</v>
      </c>
      <c r="K52" s="59">
        <f t="shared" si="16"/>
        <v>0.123766205637551</v>
      </c>
      <c r="L52" s="59">
        <f t="shared" si="16"/>
        <v>0.123766205637551</v>
      </c>
      <c r="M52" s="59">
        <f t="shared" si="16"/>
        <v>0.123766205637551</v>
      </c>
      <c r="N52" s="59">
        <f t="shared" si="16"/>
        <v>0.123766205637551</v>
      </c>
      <c r="O52" s="59">
        <f t="shared" si="16"/>
        <v>0.123766205637551</v>
      </c>
      <c r="P52" s="59">
        <f t="shared" si="16"/>
        <v>0.123766205637551</v>
      </c>
      <c r="Q52" s="59">
        <f t="shared" si="16"/>
        <v>0.123766205637551</v>
      </c>
      <c r="R52" s="59">
        <f t="shared" si="16"/>
        <v>0.123766205637551</v>
      </c>
      <c r="S52" s="59">
        <f t="shared" si="16"/>
        <v>0.123766205637551</v>
      </c>
      <c r="T52" s="59">
        <f t="shared" si="16"/>
        <v>0.123766205637551</v>
      </c>
      <c r="U52" s="59">
        <f t="shared" si="16"/>
        <v>0.123766205637551</v>
      </c>
      <c r="V52" s="59">
        <f t="shared" si="16"/>
        <v>0.123766205637551</v>
      </c>
      <c r="W52" s="59">
        <f t="shared" si="16"/>
        <v>0.123766205637551</v>
      </c>
      <c r="X52" s="59">
        <f t="shared" si="16"/>
        <v>0.123766205637551</v>
      </c>
      <c r="Y52" s="59">
        <f t="shared" si="16"/>
        <v>0.123766205637551</v>
      </c>
      <c r="Z52" s="58"/>
    </row>
    <row r="53" ht="15" customHeight="1">
      <c r="A53" s="56" t="s">
        <v>333</v>
      </c>
      <c r="B53" s="65">
        <f t="shared" si="17" ref="B53:Y53">IF(B34=0,0,B47/B34)</f>
        <v>0.021375</v>
      </c>
      <c r="C53" s="65">
        <f t="shared" si="17"/>
        <v>0.021375</v>
      </c>
      <c r="D53" s="65">
        <f t="shared" si="17"/>
        <v>0.021375</v>
      </c>
      <c r="E53" s="65">
        <f t="shared" si="17"/>
        <v>0.021375</v>
      </c>
      <c r="F53" s="65">
        <f t="shared" si="17"/>
        <v>0.021375</v>
      </c>
      <c r="G53" s="65">
        <f t="shared" si="17"/>
        <v>0.021375</v>
      </c>
      <c r="H53" s="65">
        <f t="shared" si="17"/>
        <v>0.021375</v>
      </c>
      <c r="I53" s="65">
        <f t="shared" si="17"/>
        <v>0.021375</v>
      </c>
      <c r="J53" s="65">
        <f t="shared" si="17"/>
        <v>0.021375</v>
      </c>
      <c r="K53" s="65">
        <f t="shared" si="17"/>
        <v>0.021375</v>
      </c>
      <c r="L53" s="65">
        <f t="shared" si="17"/>
        <v>0.021375</v>
      </c>
      <c r="M53" s="65">
        <f t="shared" si="17"/>
        <v>0.021375</v>
      </c>
      <c r="N53" s="65">
        <f t="shared" si="17"/>
        <v>0.021375</v>
      </c>
      <c r="O53" s="65">
        <f t="shared" si="17"/>
        <v>0.021375</v>
      </c>
      <c r="P53" s="65">
        <f t="shared" si="17"/>
        <v>0.021375</v>
      </c>
      <c r="Q53" s="65">
        <f t="shared" si="17"/>
        <v>0.021375</v>
      </c>
      <c r="R53" s="65">
        <f t="shared" si="17"/>
        <v>0.021375</v>
      </c>
      <c r="S53" s="65">
        <f t="shared" si="17"/>
        <v>0.021375</v>
      </c>
      <c r="T53" s="65">
        <f t="shared" si="17"/>
        <v>0.021375</v>
      </c>
      <c r="U53" s="65">
        <f t="shared" si="17"/>
        <v>0.021375</v>
      </c>
      <c r="V53" s="65">
        <f t="shared" si="17"/>
        <v>0.021375</v>
      </c>
      <c r="W53" s="65">
        <f t="shared" si="17"/>
        <v>0.021375</v>
      </c>
      <c r="X53" s="65">
        <f t="shared" si="17"/>
        <v>0.021375</v>
      </c>
      <c r="Y53" s="65">
        <f t="shared" si="17"/>
        <v>0.021375</v>
      </c>
      <c r="Z53" s="60">
        <f t="shared" si="0"/>
        <v>0.021375</v>
      </c>
    </row>
    <row r="54" ht="15" customHeight="1">
      <c r="A54" s="56" t="s">
        <v>334</v>
      </c>
      <c r="B54" s="66">
        <v>250</v>
      </c>
      <c r="C54" s="66">
        <v>250</v>
      </c>
      <c r="D54" s="66">
        <v>250</v>
      </c>
      <c r="E54" s="66">
        <v>250</v>
      </c>
      <c r="F54" s="66">
        <v>250</v>
      </c>
      <c r="G54" s="66">
        <v>250</v>
      </c>
      <c r="H54" s="66">
        <v>250</v>
      </c>
      <c r="I54" s="66">
        <v>250</v>
      </c>
      <c r="J54" s="66">
        <v>250</v>
      </c>
      <c r="K54" s="66">
        <v>250</v>
      </c>
      <c r="L54" s="66">
        <v>250</v>
      </c>
      <c r="M54" s="66">
        <v>250</v>
      </c>
      <c r="N54" s="66">
        <v>350</v>
      </c>
      <c r="O54" s="66">
        <v>350</v>
      </c>
      <c r="P54" s="66">
        <v>350</v>
      </c>
      <c r="Q54" s="66">
        <v>350</v>
      </c>
      <c r="R54" s="66">
        <v>350</v>
      </c>
      <c r="S54" s="66">
        <v>350</v>
      </c>
      <c r="T54" s="66">
        <v>350</v>
      </c>
      <c r="U54" s="66">
        <v>350</v>
      </c>
      <c r="V54" s="66">
        <v>350</v>
      </c>
      <c r="W54" s="66">
        <v>350</v>
      </c>
      <c r="X54" s="66">
        <v>350</v>
      </c>
      <c r="Y54" s="66">
        <v>350</v>
      </c>
      <c r="Z54" s="62"/>
    </row>
    <row r="55" ht="15" customHeight="1">
      <c r="A55" s="56" t="s">
        <v>335</v>
      </c>
      <c r="B55" s="57">
        <f t="shared" si="18" ref="B55:Y55">COUNTIF(B6:B12,"&gt;0")</f>
        <v>6</v>
      </c>
      <c r="C55" s="57">
        <f t="shared" si="18"/>
        <v>6</v>
      </c>
      <c r="D55" s="57">
        <f t="shared" si="18"/>
        <v>6</v>
      </c>
      <c r="E55" s="57">
        <f t="shared" si="18"/>
        <v>6</v>
      </c>
      <c r="F55" s="57">
        <f t="shared" si="18"/>
        <v>6</v>
      </c>
      <c r="G55" s="57">
        <f t="shared" si="18"/>
        <v>6</v>
      </c>
      <c r="H55" s="57">
        <f t="shared" si="18"/>
        <v>6</v>
      </c>
      <c r="I55" s="57">
        <f t="shared" si="18"/>
        <v>6</v>
      </c>
      <c r="J55" s="57">
        <f t="shared" si="18"/>
        <v>6</v>
      </c>
      <c r="K55" s="57">
        <f t="shared" si="18"/>
        <v>6</v>
      </c>
      <c r="L55" s="57">
        <f t="shared" si="18"/>
        <v>6</v>
      </c>
      <c r="M55" s="57">
        <f t="shared" si="18"/>
        <v>6</v>
      </c>
      <c r="N55" s="57">
        <f t="shared" si="18"/>
        <v>6</v>
      </c>
      <c r="O55" s="57">
        <f t="shared" si="18"/>
        <v>6</v>
      </c>
      <c r="P55" s="57">
        <f t="shared" si="18"/>
        <v>6</v>
      </c>
      <c r="Q55" s="57">
        <f t="shared" si="18"/>
        <v>6</v>
      </c>
      <c r="R55" s="57">
        <f t="shared" si="18"/>
        <v>6</v>
      </c>
      <c r="S55" s="57">
        <f t="shared" si="18"/>
        <v>6</v>
      </c>
      <c r="T55" s="57">
        <f t="shared" si="18"/>
        <v>6</v>
      </c>
      <c r="U55" s="57">
        <f t="shared" si="18"/>
        <v>6</v>
      </c>
      <c r="V55" s="57">
        <f t="shared" si="18"/>
        <v>6</v>
      </c>
      <c r="W55" s="57">
        <f t="shared" si="18"/>
        <v>6</v>
      </c>
      <c r="X55" s="57">
        <f t="shared" si="18"/>
        <v>6</v>
      </c>
      <c r="Y55" s="57">
        <f t="shared" si="18"/>
        <v>6</v>
      </c>
      <c r="Z55" s="58"/>
    </row>
    <row r="58" ht="15" customHeight="1">
      <c r="A58" s="67" t="s">
        <v>336</v>
      </c>
    </row>
  </sheetData>
  <mergeCells>
    <mergeCell ref="A1:Z1"/>
    <mergeCell ref="A2:Z2"/>
    <mergeCell ref="A5:Z5"/>
    <mergeCell ref="A18:Z18"/>
    <mergeCell ref="A25:Z25"/>
    <mergeCell ref="A33:Z33"/>
    <mergeCell ref="A50:Z50"/>
    <mergeCell ref="A58:Z58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DBFE54C-5668-49A3-CEF8-84275B379C68}" mc:Ignorable="x14ac xr xr2 xr3">
  <dimension ref="A1:GR1000"/>
  <sheetViews>
    <sheetView workbookViewId="0">
      <pane xSplit="1" ySplit="5" topLeftCell="R6" activePane="bottomRight" state="frozen"/>
      <selection pane="bottomLeft" activeCell="A6" sqref="A6"/>
      <selection pane="topRight" activeCell="B1" sqref="B1"/>
      <selection pane="bottomRight" activeCell="A1" sqref="A1:Z1"/>
    </sheetView>
  </sheetViews>
  <sheetFormatPr defaultRowHeight="15" defaultColWidth="8.8515625" customHeight="1"/>
  <cols>
    <col min="1" max="1" width="42.8515625" customWidth="1"/>
    <col min="2" max="25" width="12.140625" customWidth="1"/>
    <col min="26" max="26" width="18.57421875" customWidth="1"/>
  </cols>
  <sheetData>
    <row r="1" ht="18.75" customHeight="1">
      <c r="A1" s="68" t="s">
        <v>337</v>
      </c>
    </row>
    <row r="2" ht="15.75" customHeight="1">
      <c r="A2" s="69" t="s">
        <v>338</v>
      </c>
    </row>
    <row r="4" ht="15.75" customHeight="1">
      <c r="A4" s="70" t="s">
        <v>339</v>
      </c>
      <c r="B4" s="70" t="s">
        <v>270</v>
      </c>
      <c r="C4" s="70" t="s">
        <v>271</v>
      </c>
      <c r="D4" s="70" t="s">
        <v>272</v>
      </c>
      <c r="E4" s="70" t="s">
        <v>15</v>
      </c>
      <c r="F4" s="70" t="s">
        <v>273</v>
      </c>
      <c r="G4" s="70" t="s">
        <v>274</v>
      </c>
      <c r="H4" s="70" t="s">
        <v>275</v>
      </c>
      <c r="I4" s="70" t="s">
        <v>276</v>
      </c>
      <c r="J4" s="70" t="s">
        <v>277</v>
      </c>
      <c r="K4" s="70" t="s">
        <v>278</v>
      </c>
      <c r="L4" s="70" t="s">
        <v>279</v>
      </c>
      <c r="M4" s="70" t="s">
        <v>280</v>
      </c>
      <c r="N4" s="70" t="s">
        <v>281</v>
      </c>
      <c r="O4" s="70" t="s">
        <v>282</v>
      </c>
      <c r="P4" s="70" t="s">
        <v>283</v>
      </c>
      <c r="Q4" s="70" t="s">
        <v>284</v>
      </c>
      <c r="R4" s="70" t="s">
        <v>285</v>
      </c>
      <c r="S4" s="70" t="s">
        <v>286</v>
      </c>
      <c r="T4" s="70" t="s">
        <v>287</v>
      </c>
      <c r="U4" s="70" t="s">
        <v>288</v>
      </c>
      <c r="V4" s="70" t="s">
        <v>289</v>
      </c>
      <c r="W4" s="70" t="s">
        <v>290</v>
      </c>
      <c r="X4" s="70" t="s">
        <v>291</v>
      </c>
      <c r="Y4" s="70" t="s">
        <v>292</v>
      </c>
      <c r="Z4" s="70" t="s">
        <v>340</v>
      </c>
    </row>
    <row r="5" ht="15.75" customHeight="1">
      <c r="A5" s="71" t="s">
        <v>341</v>
      </c>
    </row>
    <row r="6" ht="15" customHeight="1">
      <c r="A6" s="72" t="s">
        <v>320</v>
      </c>
      <c r="B6" s="40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58">
        <v>0</v>
      </c>
    </row>
    <row r="7" ht="15" customHeight="1">
      <c r="A7" s="72" t="s">
        <v>342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73">
        <v>0</v>
      </c>
    </row>
    <row r="8" ht="15" customHeight="1">
      <c r="A8" s="72" t="s">
        <v>323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73">
        <v>0</v>
      </c>
    </row>
    <row r="9" ht="15" customHeight="1">
      <c r="A9" s="72" t="s">
        <v>343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73">
        <v>0</v>
      </c>
    </row>
    <row r="10" ht="15" customHeight="1">
      <c r="A10" s="72" t="s">
        <v>326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73">
        <v>0</v>
      </c>
    </row>
    <row r="11" ht="15" customHeight="1">
      <c r="A11" s="72" t="s">
        <v>344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73">
        <v>0</v>
      </c>
    </row>
    <row r="12" ht="15" customHeight="1"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73">
        <v>0</v>
      </c>
    </row>
    <row r="13" ht="15" customHeight="1">
      <c r="A13" s="74" t="s">
        <v>345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73">
        <v>0</v>
      </c>
    </row>
    <row r="14" ht="15" customHeight="1">
      <c r="A14" s="74" t="s">
        <v>346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73">
        <v>0</v>
      </c>
    </row>
    <row r="15" ht="15" customHeight="1"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5.75" customHeight="1">
      <c r="A16" s="75" t="s">
        <v>347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5" customHeight="1">
      <c r="A17" s="72" t="s">
        <v>320</v>
      </c>
      <c r="B17" s="48">
        <f>IF('Accounts &amp; Traffic'!B14=0,0,'Accounts &amp; Traffic'!B36*('Accounts &amp; Traffic'!B7/'Accounts &amp; Traffic'!B14))</f>
        <v>340.2</v>
      </c>
      <c r="C17" s="48">
        <f>IF('Accounts &amp; Traffic'!C14=0,0,'Accounts &amp; Traffic'!C36*('Accounts &amp; Traffic'!C7/'Accounts &amp; Traffic'!C14))</f>
        <v>340.2</v>
      </c>
      <c r="D17" s="48">
        <f>IF('Accounts &amp; Traffic'!D14=0,0,'Accounts &amp; Traffic'!D36*('Accounts &amp; Traffic'!D7/'Accounts &amp; Traffic'!D14))</f>
        <v>340.2</v>
      </c>
      <c r="E17" s="48">
        <f>IF('Accounts &amp; Traffic'!E14=0,0,'Accounts &amp; Traffic'!E36*('Accounts &amp; Traffic'!E7/'Accounts &amp; Traffic'!E14))</f>
        <v>595.35</v>
      </c>
      <c r="F17" s="48">
        <f>IF('Accounts &amp; Traffic'!F14=0,0,'Accounts &amp; Traffic'!F36*('Accounts &amp; Traffic'!F7/'Accounts &amp; Traffic'!F14))</f>
        <v>595.35</v>
      </c>
      <c r="G17" s="48">
        <f>IF('Accounts &amp; Traffic'!G14=0,0,'Accounts &amp; Traffic'!G36*('Accounts &amp; Traffic'!G7/'Accounts &amp; Traffic'!G14))</f>
        <v>595.35</v>
      </c>
      <c r="H17" s="48">
        <f>IF('Accounts &amp; Traffic'!H14=0,0,'Accounts &amp; Traffic'!H36*('Accounts &amp; Traffic'!H7/'Accounts &amp; Traffic'!H14))</f>
        <v>1020.6</v>
      </c>
      <c r="I17" s="48">
        <f>IF('Accounts &amp; Traffic'!I14=0,0,'Accounts &amp; Traffic'!I36*('Accounts &amp; Traffic'!I7/'Accounts &amp; Traffic'!I14))</f>
        <v>1020.6</v>
      </c>
      <c r="J17" s="48">
        <f>IF('Accounts &amp; Traffic'!J14=0,0,'Accounts &amp; Traffic'!J36*('Accounts &amp; Traffic'!J7/'Accounts &amp; Traffic'!J14))</f>
        <v>1020.6</v>
      </c>
      <c r="K17" s="48">
        <f>IF('Accounts &amp; Traffic'!K14=0,0,'Accounts &amp; Traffic'!K36*('Accounts &amp; Traffic'!K7/'Accounts &amp; Traffic'!K14))</f>
        <v>1020.6</v>
      </c>
      <c r="L17" s="48">
        <f>IF('Accounts &amp; Traffic'!L14=0,0,'Accounts &amp; Traffic'!L36*('Accounts &amp; Traffic'!L7/'Accounts &amp; Traffic'!L14))</f>
        <v>1020.6</v>
      </c>
      <c r="M17" s="48">
        <f>IF('Accounts &amp; Traffic'!M14=0,0,'Accounts &amp; Traffic'!M36*('Accounts &amp; Traffic'!M7/'Accounts &amp; Traffic'!M14))</f>
        <v>1020.6</v>
      </c>
      <c r="N17" s="48">
        <f>IF('Accounts &amp; Traffic'!N14=0,0,'Accounts &amp; Traffic'!N36*('Accounts &amp; Traffic'!N7/'Accounts &amp; Traffic'!N14))</f>
        <v>1530.9</v>
      </c>
      <c r="O17" s="48">
        <f>IF('Accounts &amp; Traffic'!O14=0,0,'Accounts &amp; Traffic'!O36*('Accounts &amp; Traffic'!O7/'Accounts &amp; Traffic'!O14))</f>
        <v>1530.9</v>
      </c>
      <c r="P17" s="48">
        <f>IF('Accounts &amp; Traffic'!P14=0,0,'Accounts &amp; Traffic'!P36*('Accounts &amp; Traffic'!P7/'Accounts &amp; Traffic'!P14))</f>
        <v>1530.9</v>
      </c>
      <c r="Q17" s="48">
        <f>IF('Accounts &amp; Traffic'!Q14=0,0,'Accounts &amp; Traffic'!Q36*('Accounts &amp; Traffic'!Q7/'Accounts &amp; Traffic'!Q14))</f>
        <v>1530.9</v>
      </c>
      <c r="R17" s="48">
        <f>IF('Accounts &amp; Traffic'!R14=0,0,'Accounts &amp; Traffic'!R36*('Accounts &amp; Traffic'!R7/'Accounts &amp; Traffic'!R14))</f>
        <v>1530.9</v>
      </c>
      <c r="S17" s="48">
        <f>IF('Accounts &amp; Traffic'!S14=0,0,'Accounts &amp; Traffic'!S36*('Accounts &amp; Traffic'!S7/'Accounts &amp; Traffic'!S14))</f>
        <v>1530.9</v>
      </c>
      <c r="T17" s="48">
        <f>IF('Accounts &amp; Traffic'!T14=0,0,'Accounts &amp; Traffic'!T36*('Accounts &amp; Traffic'!T7/'Accounts &amp; Traffic'!T14))</f>
        <v>2041.2</v>
      </c>
      <c r="U17" s="48">
        <f>IF('Accounts &amp; Traffic'!U14=0,0,'Accounts &amp; Traffic'!U36*('Accounts &amp; Traffic'!U7/'Accounts &amp; Traffic'!U14))</f>
        <v>2041.2</v>
      </c>
      <c r="V17" s="48">
        <f>IF('Accounts &amp; Traffic'!V14=0,0,'Accounts &amp; Traffic'!V36*('Accounts &amp; Traffic'!V7/'Accounts &amp; Traffic'!V14))</f>
        <v>2041.2</v>
      </c>
      <c r="W17" s="48">
        <f>IF('Accounts &amp; Traffic'!W14=0,0,'Accounts &amp; Traffic'!W36*('Accounts &amp; Traffic'!W7/'Accounts &amp; Traffic'!W14))</f>
        <v>2041.2</v>
      </c>
      <c r="X17" s="48">
        <f>IF('Accounts &amp; Traffic'!X14=0,0,'Accounts &amp; Traffic'!X36*('Accounts &amp; Traffic'!X7/'Accounts &amp; Traffic'!X14))</f>
        <v>2041.2</v>
      </c>
      <c r="Y17" s="48">
        <f>IF('Accounts &amp; Traffic'!Y14=0,0,'Accounts &amp; Traffic'!Y36*('Accounts &amp; Traffic'!Y7/'Accounts &amp; Traffic'!Y14))</f>
        <v>2041.2</v>
      </c>
      <c r="Z17" s="73">
        <f t="shared" si="0" ref="Z17:Z89">SUM(B17:Y17)</f>
        <v>30362.85</v>
      </c>
    </row>
    <row r="18" ht="15" customHeight="1">
      <c r="A18" s="72" t="s">
        <v>342</v>
      </c>
      <c r="B18" s="48">
        <f>B17*Assumptions!$B$20</f>
        <v>6800.598</v>
      </c>
      <c r="C18" s="48">
        <f>C17*Assumptions!$B$20</f>
        <v>6800.598</v>
      </c>
      <c r="D18" s="48">
        <f>D17*Assumptions!$B$20</f>
        <v>6800.598</v>
      </c>
      <c r="E18" s="48">
        <f>E17*Assumptions!$B$20</f>
        <v>11901.0465</v>
      </c>
      <c r="F18" s="48">
        <f>F17*Assumptions!$B$20</f>
        <v>11901.0465</v>
      </c>
      <c r="G18" s="48">
        <f>G17*Assumptions!$B$20</f>
        <v>11901.0465</v>
      </c>
      <c r="H18" s="48">
        <f>H17*Assumptions!$B$20</f>
        <v>20401.794</v>
      </c>
      <c r="I18" s="48">
        <f>I17*Assumptions!$B$20</f>
        <v>20401.794</v>
      </c>
      <c r="J18" s="48">
        <f>J17*Assumptions!$B$20</f>
        <v>20401.794</v>
      </c>
      <c r="K18" s="48">
        <f>K17*Assumptions!$B$20</f>
        <v>20401.794</v>
      </c>
      <c r="L18" s="48">
        <f>L17*Assumptions!$B$20</f>
        <v>20401.794</v>
      </c>
      <c r="M18" s="48">
        <f>M17*Assumptions!$B$20</f>
        <v>20401.794</v>
      </c>
      <c r="N18" s="48">
        <f>N17*Assumptions!$B$20</f>
        <v>30602.691</v>
      </c>
      <c r="O18" s="48">
        <f>O17*Assumptions!$B$20</f>
        <v>30602.691</v>
      </c>
      <c r="P18" s="48">
        <f>P17*Assumptions!$B$20</f>
        <v>30602.691</v>
      </c>
      <c r="Q18" s="48">
        <f>Q17*Assumptions!$B$20</f>
        <v>30602.691</v>
      </c>
      <c r="R18" s="48">
        <f>R17*Assumptions!$B$20</f>
        <v>30602.691</v>
      </c>
      <c r="S18" s="48">
        <f>S17*Assumptions!$B$20</f>
        <v>30602.691</v>
      </c>
      <c r="T18" s="48">
        <f>T17*Assumptions!$B$20</f>
        <v>40803.588</v>
      </c>
      <c r="U18" s="48">
        <f>U17*Assumptions!$B$20</f>
        <v>40803.588</v>
      </c>
      <c r="V18" s="48">
        <f>V17*Assumptions!$B$20</f>
        <v>40803.588</v>
      </c>
      <c r="W18" s="48">
        <f>W17*Assumptions!$B$20</f>
        <v>40803.588</v>
      </c>
      <c r="X18" s="48">
        <f>X17*Assumptions!$B$20</f>
        <v>40803.588</v>
      </c>
      <c r="Y18" s="48">
        <f>Y17*Assumptions!$B$20</f>
        <v>40803.588</v>
      </c>
      <c r="Z18" s="73">
        <f t="shared" si="0"/>
        <v>606953.3715</v>
      </c>
    </row>
    <row r="19" ht="15" customHeight="1">
      <c r="A19" s="72" t="s">
        <v>323</v>
      </c>
      <c r="B19" s="48">
        <f t="shared" si="1" ref="B19:Y69">B17*0.3</f>
        <v>102.06</v>
      </c>
      <c r="C19" s="48">
        <f t="shared" si="1"/>
        <v>102.06</v>
      </c>
      <c r="D19" s="48">
        <f t="shared" si="1"/>
        <v>102.06</v>
      </c>
      <c r="E19" s="48">
        <f t="shared" si="1"/>
        <v>178.605</v>
      </c>
      <c r="F19" s="48">
        <f t="shared" si="1"/>
        <v>178.605</v>
      </c>
      <c r="G19" s="48">
        <f t="shared" si="1"/>
        <v>178.605</v>
      </c>
      <c r="H19" s="48">
        <f t="shared" si="1"/>
        <v>306.18</v>
      </c>
      <c r="I19" s="48">
        <f t="shared" si="1"/>
        <v>306.18</v>
      </c>
      <c r="J19" s="48">
        <f t="shared" si="1"/>
        <v>306.18</v>
      </c>
      <c r="K19" s="48">
        <f t="shared" si="1"/>
        <v>306.18</v>
      </c>
      <c r="L19" s="48">
        <f t="shared" si="1"/>
        <v>306.18</v>
      </c>
      <c r="M19" s="48">
        <f t="shared" si="1"/>
        <v>306.18</v>
      </c>
      <c r="N19" s="48">
        <f t="shared" si="1"/>
        <v>459.27</v>
      </c>
      <c r="O19" s="48">
        <f t="shared" si="1"/>
        <v>459.27</v>
      </c>
      <c r="P19" s="48">
        <f t="shared" si="1"/>
        <v>459.27</v>
      </c>
      <c r="Q19" s="48">
        <f t="shared" si="1"/>
        <v>459.27</v>
      </c>
      <c r="R19" s="48">
        <f t="shared" si="1"/>
        <v>459.27</v>
      </c>
      <c r="S19" s="48">
        <f t="shared" si="1"/>
        <v>459.27</v>
      </c>
      <c r="T19" s="48">
        <f t="shared" si="1"/>
        <v>612.36</v>
      </c>
      <c r="U19" s="48">
        <f t="shared" si="1"/>
        <v>612.36</v>
      </c>
      <c r="V19" s="48">
        <f t="shared" si="1"/>
        <v>612.36</v>
      </c>
      <c r="W19" s="48">
        <f t="shared" si="1"/>
        <v>612.36</v>
      </c>
      <c r="X19" s="48">
        <f t="shared" si="1"/>
        <v>612.36</v>
      </c>
      <c r="Y19" s="48">
        <f t="shared" si="1"/>
        <v>612.36</v>
      </c>
      <c r="Z19" s="73">
        <f t="shared" si="0"/>
        <v>9108.855</v>
      </c>
    </row>
    <row r="20" ht="15" customHeight="1">
      <c r="A20" s="72" t="s">
        <v>343</v>
      </c>
      <c r="B20" s="48">
        <f>B19*Assumptions!$C$20</f>
        <v>3980.34</v>
      </c>
      <c r="C20" s="48">
        <f>C19*Assumptions!$C$20</f>
        <v>3980.34</v>
      </c>
      <c r="D20" s="48">
        <f>D19*Assumptions!$C$20</f>
        <v>3980.34</v>
      </c>
      <c r="E20" s="48">
        <f>E19*Assumptions!$C$20</f>
        <v>6965.595</v>
      </c>
      <c r="F20" s="48">
        <f>F19*Assumptions!$C$20</f>
        <v>6965.595</v>
      </c>
      <c r="G20" s="48">
        <f>G19*Assumptions!$C$20</f>
        <v>6965.595</v>
      </c>
      <c r="H20" s="48">
        <f>H19*Assumptions!$C$20</f>
        <v>11941.02</v>
      </c>
      <c r="I20" s="48">
        <f>I19*Assumptions!$C$20</f>
        <v>11941.02</v>
      </c>
      <c r="J20" s="48">
        <f>J19*Assumptions!$C$20</f>
        <v>11941.02</v>
      </c>
      <c r="K20" s="48">
        <f>K19*Assumptions!$C$20</f>
        <v>11941.02</v>
      </c>
      <c r="L20" s="48">
        <f>L19*Assumptions!$C$20</f>
        <v>11941.02</v>
      </c>
      <c r="M20" s="48">
        <f>M19*Assumptions!$C$20</f>
        <v>11941.02</v>
      </c>
      <c r="N20" s="48">
        <f>N19*Assumptions!$C$20</f>
        <v>17911.53</v>
      </c>
      <c r="O20" s="48">
        <f>O19*Assumptions!$C$20</f>
        <v>17911.53</v>
      </c>
      <c r="P20" s="48">
        <f>P19*Assumptions!$C$20</f>
        <v>17911.53</v>
      </c>
      <c r="Q20" s="48">
        <f>Q19*Assumptions!$C$20</f>
        <v>17911.53</v>
      </c>
      <c r="R20" s="48">
        <f>R19*Assumptions!$C$20</f>
        <v>17911.53</v>
      </c>
      <c r="S20" s="48">
        <f>S19*Assumptions!$C$20</f>
        <v>17911.53</v>
      </c>
      <c r="T20" s="48">
        <f>T19*Assumptions!$C$20</f>
        <v>23882.04</v>
      </c>
      <c r="U20" s="48">
        <f>U19*Assumptions!$C$20</f>
        <v>23882.04</v>
      </c>
      <c r="V20" s="48">
        <f>V19*Assumptions!$C$20</f>
        <v>23882.04</v>
      </c>
      <c r="W20" s="48">
        <f>W19*Assumptions!$C$20</f>
        <v>23882.04</v>
      </c>
      <c r="X20" s="48">
        <f>X19*Assumptions!$C$20</f>
        <v>23882.04</v>
      </c>
      <c r="Y20" s="48">
        <f>Y19*Assumptions!$C$20</f>
        <v>23882.04</v>
      </c>
      <c r="Z20" s="73">
        <f t="shared" si="0"/>
        <v>355245.345</v>
      </c>
    </row>
    <row r="21" ht="15" customHeight="1">
      <c r="A21" s="72" t="s">
        <v>326</v>
      </c>
      <c r="B21" s="48">
        <f t="shared" si="2" ref="B21:Y71">B17*0.12</f>
        <v>40.824</v>
      </c>
      <c r="C21" s="48">
        <f t="shared" si="2"/>
        <v>40.824</v>
      </c>
      <c r="D21" s="48">
        <f t="shared" si="2"/>
        <v>40.824</v>
      </c>
      <c r="E21" s="48">
        <f t="shared" si="2"/>
        <v>71.442</v>
      </c>
      <c r="F21" s="48">
        <f t="shared" si="2"/>
        <v>71.442</v>
      </c>
      <c r="G21" s="48">
        <f t="shared" si="2"/>
        <v>71.442</v>
      </c>
      <c r="H21" s="48">
        <f t="shared" si="2"/>
        <v>122.472</v>
      </c>
      <c r="I21" s="48">
        <f t="shared" si="2"/>
        <v>122.472</v>
      </c>
      <c r="J21" s="48">
        <f t="shared" si="2"/>
        <v>122.472</v>
      </c>
      <c r="K21" s="48">
        <f t="shared" si="2"/>
        <v>122.472</v>
      </c>
      <c r="L21" s="48">
        <f t="shared" si="2"/>
        <v>122.472</v>
      </c>
      <c r="M21" s="48">
        <f t="shared" si="2"/>
        <v>122.472</v>
      </c>
      <c r="N21" s="48">
        <f t="shared" si="2"/>
        <v>183.708</v>
      </c>
      <c r="O21" s="48">
        <f t="shared" si="2"/>
        <v>183.708</v>
      </c>
      <c r="P21" s="48">
        <f t="shared" si="2"/>
        <v>183.708</v>
      </c>
      <c r="Q21" s="48">
        <f t="shared" si="2"/>
        <v>183.708</v>
      </c>
      <c r="R21" s="48">
        <f t="shared" si="2"/>
        <v>183.708</v>
      </c>
      <c r="S21" s="48">
        <f t="shared" si="2"/>
        <v>183.708</v>
      </c>
      <c r="T21" s="48">
        <f t="shared" si="2"/>
        <v>244.944</v>
      </c>
      <c r="U21" s="48">
        <f t="shared" si="2"/>
        <v>244.944</v>
      </c>
      <c r="V21" s="48">
        <f t="shared" si="2"/>
        <v>244.944</v>
      </c>
      <c r="W21" s="48">
        <f t="shared" si="2"/>
        <v>244.944</v>
      </c>
      <c r="X21" s="48">
        <f t="shared" si="2"/>
        <v>244.944</v>
      </c>
      <c r="Y21" s="48">
        <f t="shared" si="2"/>
        <v>244.944</v>
      </c>
      <c r="Z21" s="73">
        <f t="shared" si="0"/>
        <v>3643.542</v>
      </c>
    </row>
    <row r="22" ht="15" customHeight="1">
      <c r="A22" s="72" t="s">
        <v>344</v>
      </c>
      <c r="B22" s="48">
        <f>B21*Assumptions!$D$20</f>
        <v>3225.096</v>
      </c>
      <c r="C22" s="48">
        <f>C21*Assumptions!$D$20</f>
        <v>3225.096</v>
      </c>
      <c r="D22" s="48">
        <f>D21*Assumptions!$D$20</f>
        <v>3225.096</v>
      </c>
      <c r="E22" s="48">
        <f>E21*Assumptions!$D$20</f>
        <v>5643.918</v>
      </c>
      <c r="F22" s="48">
        <f>F21*Assumptions!$D$20</f>
        <v>5643.918</v>
      </c>
      <c r="G22" s="48">
        <f>G21*Assumptions!$D$20</f>
        <v>5643.918</v>
      </c>
      <c r="H22" s="48">
        <f>H21*Assumptions!$D$20</f>
        <v>9675.288</v>
      </c>
      <c r="I22" s="48">
        <f>I21*Assumptions!$D$20</f>
        <v>9675.288</v>
      </c>
      <c r="J22" s="48">
        <f>J21*Assumptions!$D$20</f>
        <v>9675.288</v>
      </c>
      <c r="K22" s="48">
        <f>K21*Assumptions!$D$20</f>
        <v>9675.288</v>
      </c>
      <c r="L22" s="48">
        <f>L21*Assumptions!$D$20</f>
        <v>9675.288</v>
      </c>
      <c r="M22" s="48">
        <f>M21*Assumptions!$D$20</f>
        <v>9675.288</v>
      </c>
      <c r="N22" s="48">
        <f>N21*Assumptions!$D$20</f>
        <v>14512.932</v>
      </c>
      <c r="O22" s="48">
        <f>O21*Assumptions!$D$20</f>
        <v>14512.932</v>
      </c>
      <c r="P22" s="48">
        <f>P21*Assumptions!$D$20</f>
        <v>14512.932</v>
      </c>
      <c r="Q22" s="48">
        <f>Q21*Assumptions!$D$20</f>
        <v>14512.932</v>
      </c>
      <c r="R22" s="48">
        <f>R21*Assumptions!$D$20</f>
        <v>14512.932</v>
      </c>
      <c r="S22" s="48">
        <f>S21*Assumptions!$D$20</f>
        <v>14512.932</v>
      </c>
      <c r="T22" s="48">
        <f>T21*Assumptions!$D$20</f>
        <v>19350.576</v>
      </c>
      <c r="U22" s="48">
        <f>U21*Assumptions!$D$20</f>
        <v>19350.576</v>
      </c>
      <c r="V22" s="48">
        <f>V21*Assumptions!$D$20</f>
        <v>19350.576</v>
      </c>
      <c r="W22" s="48">
        <f>W21*Assumptions!$D$20</f>
        <v>19350.576</v>
      </c>
      <c r="X22" s="48">
        <f>X21*Assumptions!$D$20</f>
        <v>19350.576</v>
      </c>
      <c r="Y22" s="48">
        <f>Y21*Assumptions!$D$20</f>
        <v>19350.576</v>
      </c>
      <c r="Z22" s="73">
        <f t="shared" si="0"/>
        <v>287839.818</v>
      </c>
    </row>
    <row r="23" ht="15" customHeight="1"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73"/>
    </row>
    <row r="24" ht="15" customHeight="1">
      <c r="A24" s="76" t="s">
        <v>348</v>
      </c>
      <c r="B24" s="48">
        <f t="shared" si="3" ref="B24:Y79">B18+B20+B22</f>
        <v>14006.034</v>
      </c>
      <c r="C24" s="48">
        <f t="shared" si="3"/>
        <v>14006.034</v>
      </c>
      <c r="D24" s="48">
        <f t="shared" si="3"/>
        <v>14006.034</v>
      </c>
      <c r="E24" s="48">
        <f t="shared" si="3"/>
        <v>24510.5595</v>
      </c>
      <c r="F24" s="48">
        <f t="shared" si="3"/>
        <v>24510.5595</v>
      </c>
      <c r="G24" s="48">
        <f t="shared" si="3"/>
        <v>24510.5595</v>
      </c>
      <c r="H24" s="48">
        <f t="shared" si="3"/>
        <v>42018.102</v>
      </c>
      <c r="I24" s="48">
        <f t="shared" si="3"/>
        <v>42018.102</v>
      </c>
      <c r="J24" s="48">
        <f t="shared" si="3"/>
        <v>42018.102</v>
      </c>
      <c r="K24" s="48">
        <f t="shared" si="3"/>
        <v>42018.102</v>
      </c>
      <c r="L24" s="48">
        <f t="shared" si="3"/>
        <v>42018.102</v>
      </c>
      <c r="M24" s="48">
        <f t="shared" si="3"/>
        <v>42018.102</v>
      </c>
      <c r="N24" s="48">
        <f t="shared" si="3"/>
        <v>63027.153</v>
      </c>
      <c r="O24" s="48">
        <f t="shared" si="3"/>
        <v>63027.153</v>
      </c>
      <c r="P24" s="48">
        <f t="shared" si="3"/>
        <v>63027.153</v>
      </c>
      <c r="Q24" s="48">
        <f t="shared" si="3"/>
        <v>63027.153</v>
      </c>
      <c r="R24" s="48">
        <f t="shared" si="3"/>
        <v>63027.153</v>
      </c>
      <c r="S24" s="48">
        <f t="shared" si="3"/>
        <v>63027.153</v>
      </c>
      <c r="T24" s="48">
        <f t="shared" si="3"/>
        <v>84036.204</v>
      </c>
      <c r="U24" s="48">
        <f t="shared" si="3"/>
        <v>84036.204</v>
      </c>
      <c r="V24" s="48">
        <f t="shared" si="3"/>
        <v>84036.204</v>
      </c>
      <c r="W24" s="48">
        <f t="shared" si="3"/>
        <v>84036.204</v>
      </c>
      <c r="X24" s="48">
        <f t="shared" si="3"/>
        <v>84036.204</v>
      </c>
      <c r="Y24" s="48">
        <f t="shared" si="3"/>
        <v>84036.204</v>
      </c>
      <c r="Z24" s="73">
        <f t="shared" si="0"/>
        <v>1250038.5345</v>
      </c>
    </row>
    <row r="25" ht="15" customHeight="1">
      <c r="A25" s="76" t="s">
        <v>349</v>
      </c>
      <c r="B25" s="48">
        <f t="shared" si="4" ref="B25:Y80">B24</f>
        <v>14006.034</v>
      </c>
      <c r="C25" s="48">
        <f t="shared" si="4"/>
        <v>14006.034</v>
      </c>
      <c r="D25" s="48">
        <f t="shared" si="4"/>
        <v>14006.034</v>
      </c>
      <c r="E25" s="48">
        <f t="shared" si="4"/>
        <v>24510.5595</v>
      </c>
      <c r="F25" s="48">
        <f t="shared" si="4"/>
        <v>24510.5595</v>
      </c>
      <c r="G25" s="48">
        <f t="shared" si="4"/>
        <v>24510.5595</v>
      </c>
      <c r="H25" s="48">
        <f t="shared" si="4"/>
        <v>42018.102</v>
      </c>
      <c r="I25" s="48">
        <f t="shared" si="4"/>
        <v>42018.102</v>
      </c>
      <c r="J25" s="48">
        <f t="shared" si="4"/>
        <v>42018.102</v>
      </c>
      <c r="K25" s="48">
        <f t="shared" si="4"/>
        <v>42018.102</v>
      </c>
      <c r="L25" s="48">
        <f t="shared" si="4"/>
        <v>42018.102</v>
      </c>
      <c r="M25" s="48">
        <f t="shared" si="4"/>
        <v>42018.102</v>
      </c>
      <c r="N25" s="48">
        <f t="shared" si="4"/>
        <v>63027.153</v>
      </c>
      <c r="O25" s="48">
        <f t="shared" si="4"/>
        <v>63027.153</v>
      </c>
      <c r="P25" s="48">
        <f t="shared" si="4"/>
        <v>63027.153</v>
      </c>
      <c r="Q25" s="48">
        <f t="shared" si="4"/>
        <v>63027.153</v>
      </c>
      <c r="R25" s="48">
        <f t="shared" si="4"/>
        <v>63027.153</v>
      </c>
      <c r="S25" s="48">
        <f t="shared" si="4"/>
        <v>63027.153</v>
      </c>
      <c r="T25" s="48">
        <f t="shared" si="4"/>
        <v>84036.204</v>
      </c>
      <c r="U25" s="48">
        <f t="shared" si="4"/>
        <v>84036.204</v>
      </c>
      <c r="V25" s="48">
        <f t="shared" si="4"/>
        <v>84036.204</v>
      </c>
      <c r="W25" s="48">
        <f t="shared" si="4"/>
        <v>84036.204</v>
      </c>
      <c r="X25" s="48">
        <f t="shared" si="4"/>
        <v>84036.204</v>
      </c>
      <c r="Y25" s="48">
        <f t="shared" si="4"/>
        <v>84036.204</v>
      </c>
      <c r="Z25" s="73">
        <f t="shared" si="0"/>
        <v>1250038.5345</v>
      </c>
    </row>
    <row r="26" ht="15" customHeight="1"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5.75" customHeight="1">
      <c r="A27" s="77" t="s">
        <v>350</v>
      </c>
      <c r="B27" s="48">
        <f>IF('Accounts &amp; Traffic'!B14=0,0,'Accounts &amp; Traffic'!B36*('Accounts &amp; Traffic'!B8/'Accounts &amp; Traffic'!B14))</f>
        <v>226.8</v>
      </c>
      <c r="C27" s="48">
        <f>IF('Accounts &amp; Traffic'!C14=0,0,'Accounts &amp; Traffic'!C36*('Accounts &amp; Traffic'!C8/'Accounts &amp; Traffic'!C14))</f>
        <v>226.8</v>
      </c>
      <c r="D27" s="48">
        <f>IF('Accounts &amp; Traffic'!D14=0,0,'Accounts &amp; Traffic'!D36*('Accounts &amp; Traffic'!D8/'Accounts &amp; Traffic'!D14))</f>
        <v>226.8</v>
      </c>
      <c r="E27" s="48">
        <f>IF('Accounts &amp; Traffic'!E14=0,0,'Accounts &amp; Traffic'!E36*('Accounts &amp; Traffic'!E8/'Accounts &amp; Traffic'!E14))</f>
        <v>396.9</v>
      </c>
      <c r="F27" s="48">
        <f>IF('Accounts &amp; Traffic'!F14=0,0,'Accounts &amp; Traffic'!F36*('Accounts &amp; Traffic'!F8/'Accounts &amp; Traffic'!F14))</f>
        <v>396.9</v>
      </c>
      <c r="G27" s="48">
        <f>IF('Accounts &amp; Traffic'!G14=0,0,'Accounts &amp; Traffic'!G36*('Accounts &amp; Traffic'!G8/'Accounts &amp; Traffic'!G14))</f>
        <v>396.9</v>
      </c>
      <c r="H27" s="48">
        <f>IF('Accounts &amp; Traffic'!H14=0,0,'Accounts &amp; Traffic'!H36*('Accounts &amp; Traffic'!H8/'Accounts &amp; Traffic'!H14))</f>
        <v>680.4</v>
      </c>
      <c r="I27" s="48">
        <f>IF('Accounts &amp; Traffic'!I14=0,0,'Accounts &amp; Traffic'!I36*('Accounts &amp; Traffic'!I8/'Accounts &amp; Traffic'!I14))</f>
        <v>680.4</v>
      </c>
      <c r="J27" s="48">
        <f>IF('Accounts &amp; Traffic'!J14=0,0,'Accounts &amp; Traffic'!J36*('Accounts &amp; Traffic'!J8/'Accounts &amp; Traffic'!J14))</f>
        <v>680.4</v>
      </c>
      <c r="K27" s="48">
        <f>IF('Accounts &amp; Traffic'!K14=0,0,'Accounts &amp; Traffic'!K36*('Accounts &amp; Traffic'!K8/'Accounts &amp; Traffic'!K14))</f>
        <v>680.4</v>
      </c>
      <c r="L27" s="48">
        <f>IF('Accounts &amp; Traffic'!L14=0,0,'Accounts &amp; Traffic'!L36*('Accounts &amp; Traffic'!L8/'Accounts &amp; Traffic'!L14))</f>
        <v>680.4</v>
      </c>
      <c r="M27" s="48">
        <f>IF('Accounts &amp; Traffic'!M14=0,0,'Accounts &amp; Traffic'!M36*('Accounts &amp; Traffic'!M8/'Accounts &amp; Traffic'!M14))</f>
        <v>680.4</v>
      </c>
      <c r="N27" s="48">
        <f>IF('Accounts &amp; Traffic'!N14=0,0,'Accounts &amp; Traffic'!N36*('Accounts &amp; Traffic'!N8/'Accounts &amp; Traffic'!N14))</f>
        <v>1020.6</v>
      </c>
      <c r="O27" s="48">
        <f>IF('Accounts &amp; Traffic'!O14=0,0,'Accounts &amp; Traffic'!O36*('Accounts &amp; Traffic'!O8/'Accounts &amp; Traffic'!O14))</f>
        <v>1020.6</v>
      </c>
      <c r="P27" s="48">
        <f>IF('Accounts &amp; Traffic'!P14=0,0,'Accounts &amp; Traffic'!P36*('Accounts &amp; Traffic'!P8/'Accounts &amp; Traffic'!P14))</f>
        <v>1020.6</v>
      </c>
      <c r="Q27" s="48">
        <f>IF('Accounts &amp; Traffic'!Q14=0,0,'Accounts &amp; Traffic'!Q36*('Accounts &amp; Traffic'!Q8/'Accounts &amp; Traffic'!Q14))</f>
        <v>1020.6</v>
      </c>
      <c r="R27" s="48">
        <f>IF('Accounts &amp; Traffic'!R14=0,0,'Accounts &amp; Traffic'!R36*('Accounts &amp; Traffic'!R8/'Accounts &amp; Traffic'!R14))</f>
        <v>1020.6</v>
      </c>
      <c r="S27" s="48">
        <f>IF('Accounts &amp; Traffic'!S14=0,0,'Accounts &amp; Traffic'!S36*('Accounts &amp; Traffic'!S8/'Accounts &amp; Traffic'!S14))</f>
        <v>1020.6</v>
      </c>
      <c r="T27" s="48">
        <f>IF('Accounts &amp; Traffic'!T14=0,0,'Accounts &amp; Traffic'!T36*('Accounts &amp; Traffic'!T8/'Accounts &amp; Traffic'!T14))</f>
        <v>1360.8</v>
      </c>
      <c r="U27" s="48">
        <f>IF('Accounts &amp; Traffic'!U14=0,0,'Accounts &amp; Traffic'!U36*('Accounts &amp; Traffic'!U8/'Accounts &amp; Traffic'!U14))</f>
        <v>1360.8</v>
      </c>
      <c r="V27" s="48">
        <f>IF('Accounts &amp; Traffic'!V14=0,0,'Accounts &amp; Traffic'!V36*('Accounts &amp; Traffic'!V8/'Accounts &amp; Traffic'!V14))</f>
        <v>1360.8</v>
      </c>
      <c r="W27" s="48">
        <f>IF('Accounts &amp; Traffic'!W14=0,0,'Accounts &amp; Traffic'!W36*('Accounts &amp; Traffic'!W8/'Accounts &amp; Traffic'!W14))</f>
        <v>1360.8</v>
      </c>
      <c r="X27" s="48">
        <f>IF('Accounts &amp; Traffic'!X14=0,0,'Accounts &amp; Traffic'!X36*('Accounts &amp; Traffic'!X8/'Accounts &amp; Traffic'!X14))</f>
        <v>1360.8</v>
      </c>
      <c r="Y27" s="48">
        <f>IF('Accounts &amp; Traffic'!Y14=0,0,'Accounts &amp; Traffic'!Y36*('Accounts &amp; Traffic'!Y8/'Accounts &amp; Traffic'!Y14))</f>
        <v>1360.8</v>
      </c>
      <c r="Z27" s="48">
        <f t="shared" si="0"/>
        <v>20241.9</v>
      </c>
    </row>
    <row r="28" ht="15" customHeight="1">
      <c r="A28" s="72" t="s">
        <v>320</v>
      </c>
      <c r="B28" s="48">
        <f>B27*Assumptions!$B$21</f>
        <v>1812.132</v>
      </c>
      <c r="C28" s="48">
        <f>C27*Assumptions!$B$21</f>
        <v>1812.132</v>
      </c>
      <c r="D28" s="48">
        <f>D27*Assumptions!$B$21</f>
        <v>1812.132</v>
      </c>
      <c r="E28" s="48">
        <f>E27*Assumptions!$B$21</f>
        <v>3171.231</v>
      </c>
      <c r="F28" s="48">
        <f>F27*Assumptions!$B$21</f>
        <v>3171.231</v>
      </c>
      <c r="G28" s="48">
        <f>G27*Assumptions!$B$21</f>
        <v>3171.231</v>
      </c>
      <c r="H28" s="48">
        <f>H27*Assumptions!$B$21</f>
        <v>5436.396</v>
      </c>
      <c r="I28" s="48">
        <f>I27*Assumptions!$B$21</f>
        <v>5436.396</v>
      </c>
      <c r="J28" s="48">
        <f>J27*Assumptions!$B$21</f>
        <v>5436.396</v>
      </c>
      <c r="K28" s="48">
        <f>K27*Assumptions!$B$21</f>
        <v>5436.396</v>
      </c>
      <c r="L28" s="48">
        <f>L27*Assumptions!$B$21</f>
        <v>5436.396</v>
      </c>
      <c r="M28" s="48">
        <f>M27*Assumptions!$B$21</f>
        <v>5436.396</v>
      </c>
      <c r="N28" s="48">
        <f>N27*Assumptions!$B$21</f>
        <v>8154.594</v>
      </c>
      <c r="O28" s="48">
        <f>O27*Assumptions!$B$21</f>
        <v>8154.594</v>
      </c>
      <c r="P28" s="48">
        <f>P27*Assumptions!$B$21</f>
        <v>8154.594</v>
      </c>
      <c r="Q28" s="48">
        <f>Q27*Assumptions!$B$21</f>
        <v>8154.594</v>
      </c>
      <c r="R28" s="48">
        <f>R27*Assumptions!$B$21</f>
        <v>8154.594</v>
      </c>
      <c r="S28" s="48">
        <f>S27*Assumptions!$B$21</f>
        <v>8154.594</v>
      </c>
      <c r="T28" s="48">
        <f>T27*Assumptions!$B$21</f>
        <v>10872.792</v>
      </c>
      <c r="U28" s="48">
        <f>U27*Assumptions!$B$21</f>
        <v>10872.792</v>
      </c>
      <c r="V28" s="48">
        <f>V27*Assumptions!$B$21</f>
        <v>10872.792</v>
      </c>
      <c r="W28" s="48">
        <f>W27*Assumptions!$B$21</f>
        <v>10872.792</v>
      </c>
      <c r="X28" s="48">
        <f>X27*Assumptions!$B$21</f>
        <v>10872.792</v>
      </c>
      <c r="Y28" s="48">
        <f>Y27*Assumptions!$B$21</f>
        <v>10872.792</v>
      </c>
      <c r="Z28" s="73">
        <f t="shared" si="0"/>
        <v>161732.781</v>
      </c>
    </row>
    <row r="29" ht="15" customHeight="1">
      <c r="A29" s="72" t="s">
        <v>342</v>
      </c>
      <c r="B29" s="48">
        <f t="shared" si="1"/>
        <v>68.04</v>
      </c>
      <c r="C29" s="48">
        <f t="shared" si="1"/>
        <v>68.04</v>
      </c>
      <c r="D29" s="48">
        <f t="shared" si="1"/>
        <v>68.04</v>
      </c>
      <c r="E29" s="48">
        <f t="shared" si="1"/>
        <v>119.07</v>
      </c>
      <c r="F29" s="48">
        <f t="shared" si="1"/>
        <v>119.07</v>
      </c>
      <c r="G29" s="48">
        <f t="shared" si="1"/>
        <v>119.07</v>
      </c>
      <c r="H29" s="48">
        <f t="shared" si="1"/>
        <v>204.12</v>
      </c>
      <c r="I29" s="48">
        <f t="shared" si="1"/>
        <v>204.12</v>
      </c>
      <c r="J29" s="48">
        <f t="shared" si="1"/>
        <v>204.12</v>
      </c>
      <c r="K29" s="48">
        <f t="shared" si="1"/>
        <v>204.12</v>
      </c>
      <c r="L29" s="48">
        <f t="shared" si="1"/>
        <v>204.12</v>
      </c>
      <c r="M29" s="48">
        <f t="shared" si="1"/>
        <v>204.12</v>
      </c>
      <c r="N29" s="48">
        <f t="shared" si="1"/>
        <v>306.18</v>
      </c>
      <c r="O29" s="48">
        <f t="shared" si="1"/>
        <v>306.18</v>
      </c>
      <c r="P29" s="48">
        <f t="shared" si="1"/>
        <v>306.18</v>
      </c>
      <c r="Q29" s="48">
        <f t="shared" si="1"/>
        <v>306.18</v>
      </c>
      <c r="R29" s="48">
        <f t="shared" si="1"/>
        <v>306.18</v>
      </c>
      <c r="S29" s="48">
        <f t="shared" si="1"/>
        <v>306.18</v>
      </c>
      <c r="T29" s="48">
        <f t="shared" si="1"/>
        <v>408.24</v>
      </c>
      <c r="U29" s="48">
        <f t="shared" si="1"/>
        <v>408.24</v>
      </c>
      <c r="V29" s="48">
        <f t="shared" si="1"/>
        <v>408.24</v>
      </c>
      <c r="W29" s="48">
        <f t="shared" si="1"/>
        <v>408.24</v>
      </c>
      <c r="X29" s="48">
        <f t="shared" si="1"/>
        <v>408.24</v>
      </c>
      <c r="Y29" s="48">
        <f t="shared" si="1"/>
        <v>408.24</v>
      </c>
      <c r="Z29" s="73">
        <f t="shared" si="0"/>
        <v>6072.57</v>
      </c>
    </row>
    <row r="30" ht="15" customHeight="1">
      <c r="A30" s="72" t="s">
        <v>323</v>
      </c>
      <c r="B30" s="48">
        <f>B29*Assumptions!$C$21</f>
        <v>1973.16</v>
      </c>
      <c r="C30" s="48">
        <f>C29*Assumptions!$C$21</f>
        <v>1973.16</v>
      </c>
      <c r="D30" s="48">
        <f>D29*Assumptions!$C$21</f>
        <v>1973.16</v>
      </c>
      <c r="E30" s="48">
        <f>E29*Assumptions!$C$21</f>
        <v>3453.03</v>
      </c>
      <c r="F30" s="48">
        <f>F29*Assumptions!$C$21</f>
        <v>3453.03</v>
      </c>
      <c r="G30" s="48">
        <f>G29*Assumptions!$C$21</f>
        <v>3453.03</v>
      </c>
      <c r="H30" s="48">
        <f>H29*Assumptions!$C$21</f>
        <v>5919.48</v>
      </c>
      <c r="I30" s="48">
        <f>I29*Assumptions!$C$21</f>
        <v>5919.48</v>
      </c>
      <c r="J30" s="48">
        <f>J29*Assumptions!$C$21</f>
        <v>5919.48</v>
      </c>
      <c r="K30" s="48">
        <f>K29*Assumptions!$C$21</f>
        <v>5919.48</v>
      </c>
      <c r="L30" s="48">
        <f>L29*Assumptions!$C$21</f>
        <v>5919.48</v>
      </c>
      <c r="M30" s="48">
        <f>M29*Assumptions!$C$21</f>
        <v>5919.48</v>
      </c>
      <c r="N30" s="48">
        <f>N29*Assumptions!$C$21</f>
        <v>8879.22</v>
      </c>
      <c r="O30" s="48">
        <f>O29*Assumptions!$C$21</f>
        <v>8879.22</v>
      </c>
      <c r="P30" s="48">
        <f>P29*Assumptions!$C$21</f>
        <v>8879.22</v>
      </c>
      <c r="Q30" s="48">
        <f>Q29*Assumptions!$C$21</f>
        <v>8879.22</v>
      </c>
      <c r="R30" s="48">
        <f>R29*Assumptions!$C$21</f>
        <v>8879.22</v>
      </c>
      <c r="S30" s="48">
        <f>S29*Assumptions!$C$21</f>
        <v>8879.22</v>
      </c>
      <c r="T30" s="48">
        <f>T29*Assumptions!$C$21</f>
        <v>11838.96</v>
      </c>
      <c r="U30" s="48">
        <f>U29*Assumptions!$C$21</f>
        <v>11838.96</v>
      </c>
      <c r="V30" s="48">
        <f>V29*Assumptions!$C$21</f>
        <v>11838.96</v>
      </c>
      <c r="W30" s="48">
        <f>W29*Assumptions!$C$21</f>
        <v>11838.96</v>
      </c>
      <c r="X30" s="48">
        <f>X29*Assumptions!$C$21</f>
        <v>11838.96</v>
      </c>
      <c r="Y30" s="48">
        <f>Y29*Assumptions!$C$21</f>
        <v>11838.96</v>
      </c>
      <c r="Z30" s="73">
        <f t="shared" si="0"/>
        <v>176104.53</v>
      </c>
    </row>
    <row r="31" ht="15" customHeight="1">
      <c r="A31" s="72" t="s">
        <v>343</v>
      </c>
      <c r="B31" s="48">
        <f t="shared" si="2"/>
        <v>27.216</v>
      </c>
      <c r="C31" s="48">
        <f t="shared" si="2"/>
        <v>27.216</v>
      </c>
      <c r="D31" s="48">
        <f t="shared" si="2"/>
        <v>27.216</v>
      </c>
      <c r="E31" s="48">
        <f t="shared" si="2"/>
        <v>47.628</v>
      </c>
      <c r="F31" s="48">
        <f t="shared" si="2"/>
        <v>47.628</v>
      </c>
      <c r="G31" s="48">
        <f t="shared" si="2"/>
        <v>47.628</v>
      </c>
      <c r="H31" s="48">
        <f t="shared" si="2"/>
        <v>81.648</v>
      </c>
      <c r="I31" s="48">
        <f t="shared" si="2"/>
        <v>81.648</v>
      </c>
      <c r="J31" s="48">
        <f t="shared" si="2"/>
        <v>81.648</v>
      </c>
      <c r="K31" s="48">
        <f t="shared" si="2"/>
        <v>81.648</v>
      </c>
      <c r="L31" s="48">
        <f t="shared" si="2"/>
        <v>81.648</v>
      </c>
      <c r="M31" s="48">
        <f t="shared" si="2"/>
        <v>81.648</v>
      </c>
      <c r="N31" s="48">
        <f t="shared" si="2"/>
        <v>122.472</v>
      </c>
      <c r="O31" s="48">
        <f t="shared" si="2"/>
        <v>122.472</v>
      </c>
      <c r="P31" s="48">
        <f t="shared" si="2"/>
        <v>122.472</v>
      </c>
      <c r="Q31" s="48">
        <f t="shared" si="2"/>
        <v>122.472</v>
      </c>
      <c r="R31" s="48">
        <f t="shared" si="2"/>
        <v>122.472</v>
      </c>
      <c r="S31" s="48">
        <f t="shared" si="2"/>
        <v>122.472</v>
      </c>
      <c r="T31" s="48">
        <f t="shared" si="2"/>
        <v>163.296</v>
      </c>
      <c r="U31" s="48">
        <f t="shared" si="2"/>
        <v>163.296</v>
      </c>
      <c r="V31" s="48">
        <f t="shared" si="2"/>
        <v>163.296</v>
      </c>
      <c r="W31" s="48">
        <f t="shared" si="2"/>
        <v>163.296</v>
      </c>
      <c r="X31" s="48">
        <f t="shared" si="2"/>
        <v>163.296</v>
      </c>
      <c r="Y31" s="48">
        <f t="shared" si="2"/>
        <v>163.296</v>
      </c>
      <c r="Z31" s="73">
        <f t="shared" si="0"/>
        <v>2429.028</v>
      </c>
    </row>
    <row r="32" ht="15" customHeight="1">
      <c r="A32" s="72" t="s">
        <v>326</v>
      </c>
      <c r="B32" s="48">
        <f>B31*Assumptions!$D$21</f>
        <v>1551.312</v>
      </c>
      <c r="C32" s="48">
        <f>C31*Assumptions!$D$21</f>
        <v>1551.312</v>
      </c>
      <c r="D32" s="48">
        <f>D31*Assumptions!$D$21</f>
        <v>1551.312</v>
      </c>
      <c r="E32" s="48">
        <f>E31*Assumptions!$D$21</f>
        <v>2714.796</v>
      </c>
      <c r="F32" s="48">
        <f>F31*Assumptions!$D$21</f>
        <v>2714.796</v>
      </c>
      <c r="G32" s="48">
        <f>G31*Assumptions!$D$21</f>
        <v>2714.796</v>
      </c>
      <c r="H32" s="48">
        <f>H31*Assumptions!$D$21</f>
        <v>4653.936</v>
      </c>
      <c r="I32" s="48">
        <f>I31*Assumptions!$D$21</f>
        <v>4653.936</v>
      </c>
      <c r="J32" s="48">
        <f>J31*Assumptions!$D$21</f>
        <v>4653.936</v>
      </c>
      <c r="K32" s="48">
        <f>K31*Assumptions!$D$21</f>
        <v>4653.936</v>
      </c>
      <c r="L32" s="48">
        <f>L31*Assumptions!$D$21</f>
        <v>4653.936</v>
      </c>
      <c r="M32" s="48">
        <f>M31*Assumptions!$D$21</f>
        <v>4653.936</v>
      </c>
      <c r="N32" s="48">
        <f>N31*Assumptions!$D$21</f>
        <v>6980.904</v>
      </c>
      <c r="O32" s="48">
        <f>O31*Assumptions!$D$21</f>
        <v>6980.904</v>
      </c>
      <c r="P32" s="48">
        <f>P31*Assumptions!$D$21</f>
        <v>6980.904</v>
      </c>
      <c r="Q32" s="48">
        <f>Q31*Assumptions!$D$21</f>
        <v>6980.904</v>
      </c>
      <c r="R32" s="48">
        <f>R31*Assumptions!$D$21</f>
        <v>6980.904</v>
      </c>
      <c r="S32" s="48">
        <f>S31*Assumptions!$D$21</f>
        <v>6980.904</v>
      </c>
      <c r="T32" s="48">
        <f>T31*Assumptions!$D$21</f>
        <v>9307.872</v>
      </c>
      <c r="U32" s="48">
        <f>U31*Assumptions!$D$21</f>
        <v>9307.872</v>
      </c>
      <c r="V32" s="48">
        <f>V31*Assumptions!$D$21</f>
        <v>9307.872</v>
      </c>
      <c r="W32" s="48">
        <f>W31*Assumptions!$D$21</f>
        <v>9307.872</v>
      </c>
      <c r="X32" s="48">
        <f>X31*Assumptions!$D$21</f>
        <v>9307.872</v>
      </c>
      <c r="Y32" s="48">
        <f>Y31*Assumptions!$D$21</f>
        <v>9307.872</v>
      </c>
      <c r="Z32" s="73">
        <f t="shared" si="0"/>
        <v>138454.596</v>
      </c>
    </row>
    <row r="33" ht="15" customHeight="1">
      <c r="A33" s="72" t="s">
        <v>344</v>
      </c>
      <c r="B33" s="48">
        <f>B32*Assumptions!$E$21</f>
        <v>197016.624</v>
      </c>
      <c r="C33" s="48">
        <f>C32*Assumptions!$E$21</f>
        <v>197016.624</v>
      </c>
      <c r="D33" s="48">
        <f>D32*Assumptions!$E$21</f>
        <v>197016.624</v>
      </c>
      <c r="E33" s="48">
        <f>E32*Assumptions!$E$21</f>
        <v>344779.092</v>
      </c>
      <c r="F33" s="48">
        <f>F32*Assumptions!$E$21</f>
        <v>344779.092</v>
      </c>
      <c r="G33" s="48">
        <f>G32*Assumptions!$E$21</f>
        <v>344779.092</v>
      </c>
      <c r="H33" s="48">
        <f>H32*Assumptions!$E$21</f>
        <v>591049.872</v>
      </c>
      <c r="I33" s="48">
        <f>I32*Assumptions!$E$21</f>
        <v>591049.872</v>
      </c>
      <c r="J33" s="48">
        <f>J32*Assumptions!$E$21</f>
        <v>591049.872</v>
      </c>
      <c r="K33" s="48">
        <f>K32*Assumptions!$E$21</f>
        <v>591049.872</v>
      </c>
      <c r="L33" s="48">
        <f>L32*Assumptions!$E$21</f>
        <v>591049.872</v>
      </c>
      <c r="M33" s="48">
        <f>M32*Assumptions!$E$21</f>
        <v>591049.872</v>
      </c>
      <c r="N33" s="48">
        <f>N32*Assumptions!$E$21</f>
        <v>886574.808</v>
      </c>
      <c r="O33" s="48">
        <f>O32*Assumptions!$E$21</f>
        <v>886574.808</v>
      </c>
      <c r="P33" s="48">
        <f>P32*Assumptions!$E$21</f>
        <v>886574.808</v>
      </c>
      <c r="Q33" s="48">
        <f>Q32*Assumptions!$E$21</f>
        <v>886574.808</v>
      </c>
      <c r="R33" s="48">
        <f>R32*Assumptions!$E$21</f>
        <v>886574.808</v>
      </c>
      <c r="S33" s="48">
        <f>S32*Assumptions!$E$21</f>
        <v>886574.808</v>
      </c>
      <c r="T33" s="48">
        <f>T32*Assumptions!$E$21</f>
        <v>1182099.744</v>
      </c>
      <c r="U33" s="48">
        <f>U32*Assumptions!$E$21</f>
        <v>1182099.744</v>
      </c>
      <c r="V33" s="48">
        <f>V32*Assumptions!$E$21</f>
        <v>1182099.744</v>
      </c>
      <c r="W33" s="48">
        <f>W32*Assumptions!$E$21</f>
        <v>1182099.744</v>
      </c>
      <c r="X33" s="48">
        <f>X32*Assumptions!$E$21</f>
        <v>1182099.744</v>
      </c>
      <c r="Y33" s="48">
        <f>Y32*Assumptions!$E$21</f>
        <v>1182099.744</v>
      </c>
      <c r="Z33" s="73">
        <f t="shared" si="0"/>
        <v>17583733.692</v>
      </c>
    </row>
    <row r="34" ht="15" customHeight="1">
      <c r="B34" s="48">
        <f t="shared" si="3"/>
        <v>5336.604</v>
      </c>
      <c r="C34" s="48">
        <f t="shared" si="3"/>
        <v>5336.604</v>
      </c>
      <c r="D34" s="48">
        <f t="shared" si="3"/>
        <v>5336.604</v>
      </c>
      <c r="E34" s="48">
        <f t="shared" si="3"/>
        <v>9339.057</v>
      </c>
      <c r="F34" s="48">
        <f t="shared" si="3"/>
        <v>9339.057</v>
      </c>
      <c r="G34" s="48">
        <f t="shared" si="3"/>
        <v>9339.057</v>
      </c>
      <c r="H34" s="48">
        <f t="shared" si="3"/>
        <v>16009.812</v>
      </c>
      <c r="I34" s="48">
        <f t="shared" si="3"/>
        <v>16009.812</v>
      </c>
      <c r="J34" s="48">
        <f t="shared" si="3"/>
        <v>16009.812</v>
      </c>
      <c r="K34" s="48">
        <f t="shared" si="3"/>
        <v>16009.812</v>
      </c>
      <c r="L34" s="48">
        <f t="shared" si="3"/>
        <v>16009.812</v>
      </c>
      <c r="M34" s="48">
        <f t="shared" si="3"/>
        <v>16009.812</v>
      </c>
      <c r="N34" s="48">
        <f t="shared" si="3"/>
        <v>24014.718</v>
      </c>
      <c r="O34" s="48">
        <f t="shared" si="3"/>
        <v>24014.718</v>
      </c>
      <c r="P34" s="48">
        <f t="shared" si="3"/>
        <v>24014.718</v>
      </c>
      <c r="Q34" s="48">
        <f t="shared" si="3"/>
        <v>24014.718</v>
      </c>
      <c r="R34" s="48">
        <f t="shared" si="3"/>
        <v>24014.718</v>
      </c>
      <c r="S34" s="48">
        <f t="shared" si="3"/>
        <v>24014.718</v>
      </c>
      <c r="T34" s="48">
        <f t="shared" si="3"/>
        <v>32019.624</v>
      </c>
      <c r="U34" s="48">
        <f t="shared" si="3"/>
        <v>32019.624</v>
      </c>
      <c r="V34" s="48">
        <f t="shared" si="3"/>
        <v>32019.624</v>
      </c>
      <c r="W34" s="48">
        <f t="shared" si="3"/>
        <v>32019.624</v>
      </c>
      <c r="X34" s="48">
        <f t="shared" si="3"/>
        <v>32019.624</v>
      </c>
      <c r="Y34" s="48">
        <f t="shared" si="3"/>
        <v>32019.624</v>
      </c>
      <c r="Z34" s="73">
        <f t="shared" si="0"/>
        <v>476291.907</v>
      </c>
    </row>
    <row r="35" ht="15" customHeight="1">
      <c r="A35" s="78" t="s">
        <v>351</v>
      </c>
      <c r="B35" s="48">
        <f t="shared" si="3"/>
        <v>197111.88</v>
      </c>
      <c r="C35" s="48">
        <f t="shared" si="3"/>
        <v>197111.88</v>
      </c>
      <c r="D35" s="48">
        <f t="shared" si="3"/>
        <v>197111.88</v>
      </c>
      <c r="E35" s="48">
        <f t="shared" si="3"/>
        <v>344945.79</v>
      </c>
      <c r="F35" s="48">
        <f t="shared" si="3"/>
        <v>344945.79</v>
      </c>
      <c r="G35" s="48">
        <f t="shared" si="3"/>
        <v>344945.79</v>
      </c>
      <c r="H35" s="48">
        <f t="shared" si="3"/>
        <v>591335.64</v>
      </c>
      <c r="I35" s="48">
        <f t="shared" si="3"/>
        <v>591335.64</v>
      </c>
      <c r="J35" s="48">
        <f t="shared" si="3"/>
        <v>591335.64</v>
      </c>
      <c r="K35" s="48">
        <f t="shared" si="3"/>
        <v>591335.64</v>
      </c>
      <c r="L35" s="48">
        <f t="shared" si="3"/>
        <v>591335.64</v>
      </c>
      <c r="M35" s="48">
        <f t="shared" si="3"/>
        <v>591335.64</v>
      </c>
      <c r="N35" s="48">
        <f t="shared" si="3"/>
        <v>887003.46</v>
      </c>
      <c r="O35" s="48">
        <f t="shared" si="3"/>
        <v>887003.46</v>
      </c>
      <c r="P35" s="48">
        <f t="shared" si="3"/>
        <v>887003.46</v>
      </c>
      <c r="Q35" s="48">
        <f t="shared" si="3"/>
        <v>887003.46</v>
      </c>
      <c r="R35" s="48">
        <f t="shared" si="3"/>
        <v>887003.46</v>
      </c>
      <c r="S35" s="48">
        <f t="shared" si="3"/>
        <v>887003.46</v>
      </c>
      <c r="T35" s="48">
        <f t="shared" si="3"/>
        <v>1182671.28</v>
      </c>
      <c r="U35" s="48">
        <f t="shared" si="3"/>
        <v>1182671.28</v>
      </c>
      <c r="V35" s="48">
        <f t="shared" si="3"/>
        <v>1182671.28</v>
      </c>
      <c r="W35" s="48">
        <f t="shared" si="3"/>
        <v>1182671.28</v>
      </c>
      <c r="X35" s="48">
        <f t="shared" si="3"/>
        <v>1182671.28</v>
      </c>
      <c r="Y35" s="48">
        <f t="shared" si="3"/>
        <v>1182671.28</v>
      </c>
      <c r="Z35" s="73">
        <f t="shared" si="0"/>
        <v>17592235.29</v>
      </c>
    </row>
    <row r="36" ht="15" customHeight="1">
      <c r="A36" s="78" t="s">
        <v>352</v>
      </c>
      <c r="B36" s="48">
        <f t="shared" si="4"/>
        <v>197111.88</v>
      </c>
      <c r="C36" s="48">
        <f t="shared" si="4"/>
        <v>197111.88</v>
      </c>
      <c r="D36" s="48">
        <f t="shared" si="4"/>
        <v>197111.88</v>
      </c>
      <c r="E36" s="48">
        <f t="shared" si="4"/>
        <v>344945.79</v>
      </c>
      <c r="F36" s="48">
        <f t="shared" si="4"/>
        <v>344945.79</v>
      </c>
      <c r="G36" s="48">
        <f t="shared" si="4"/>
        <v>344945.79</v>
      </c>
      <c r="H36" s="48">
        <f t="shared" si="4"/>
        <v>591335.64</v>
      </c>
      <c r="I36" s="48">
        <f t="shared" si="4"/>
        <v>591335.64</v>
      </c>
      <c r="J36" s="48">
        <f t="shared" si="4"/>
        <v>591335.64</v>
      </c>
      <c r="K36" s="48">
        <f t="shared" si="4"/>
        <v>591335.64</v>
      </c>
      <c r="L36" s="48">
        <f t="shared" si="4"/>
        <v>591335.64</v>
      </c>
      <c r="M36" s="48">
        <f t="shared" si="4"/>
        <v>591335.64</v>
      </c>
      <c r="N36" s="48">
        <f t="shared" si="4"/>
        <v>887003.46</v>
      </c>
      <c r="O36" s="48">
        <f t="shared" si="4"/>
        <v>887003.46</v>
      </c>
      <c r="P36" s="48">
        <f t="shared" si="4"/>
        <v>887003.46</v>
      </c>
      <c r="Q36" s="48">
        <f t="shared" si="4"/>
        <v>887003.46</v>
      </c>
      <c r="R36" s="48">
        <f t="shared" si="4"/>
        <v>887003.46</v>
      </c>
      <c r="S36" s="48">
        <f t="shared" si="4"/>
        <v>887003.46</v>
      </c>
      <c r="T36" s="48">
        <f t="shared" si="4"/>
        <v>1182671.28</v>
      </c>
      <c r="U36" s="48">
        <f t="shared" si="4"/>
        <v>1182671.28</v>
      </c>
      <c r="V36" s="48">
        <f t="shared" si="4"/>
        <v>1182671.28</v>
      </c>
      <c r="W36" s="48">
        <f t="shared" si="4"/>
        <v>1182671.28</v>
      </c>
      <c r="X36" s="48">
        <f t="shared" si="4"/>
        <v>1182671.28</v>
      </c>
      <c r="Y36" s="48">
        <f t="shared" si="4"/>
        <v>1182671.28</v>
      </c>
      <c r="Z36" s="73">
        <f t="shared" si="0"/>
        <v>17592235.29</v>
      </c>
    </row>
    <row r="37" ht="15" customHeight="1">
      <c r="B37" s="48">
        <f>IF('Accounts &amp; Traffic'!B14=0,0,'Accounts &amp; Traffic'!B36*('Accounts &amp; Traffic'!B9/'Accounts &amp; Traffic'!B14))</f>
        <v>170.1</v>
      </c>
      <c r="C37" s="48">
        <f>IF('Accounts &amp; Traffic'!C14=0,0,'Accounts &amp; Traffic'!C36*('Accounts &amp; Traffic'!C9/'Accounts &amp; Traffic'!C14))</f>
        <v>170.1</v>
      </c>
      <c r="D37" s="48">
        <f>IF('Accounts &amp; Traffic'!D14=0,0,'Accounts &amp; Traffic'!D36*('Accounts &amp; Traffic'!D9/'Accounts &amp; Traffic'!D14))</f>
        <v>170.1</v>
      </c>
      <c r="E37" s="48">
        <f>IF('Accounts &amp; Traffic'!E14=0,0,'Accounts &amp; Traffic'!E36*('Accounts &amp; Traffic'!E9/'Accounts &amp; Traffic'!E14))</f>
        <v>300.51</v>
      </c>
      <c r="F37" s="48">
        <f>IF('Accounts &amp; Traffic'!F14=0,0,'Accounts &amp; Traffic'!F36*('Accounts &amp; Traffic'!F9/'Accounts &amp; Traffic'!F14))</f>
        <v>300.51</v>
      </c>
      <c r="G37" s="48">
        <f>IF('Accounts &amp; Traffic'!G14=0,0,'Accounts &amp; Traffic'!G36*('Accounts &amp; Traffic'!G9/'Accounts &amp; Traffic'!G14))</f>
        <v>300.51</v>
      </c>
      <c r="H37" s="48">
        <f>IF('Accounts &amp; Traffic'!H14=0,0,'Accounts &amp; Traffic'!H36*('Accounts &amp; Traffic'!H9/'Accounts &amp; Traffic'!H14))</f>
        <v>510.3</v>
      </c>
      <c r="I37" s="48">
        <f>IF('Accounts &amp; Traffic'!I14=0,0,'Accounts &amp; Traffic'!I36*('Accounts &amp; Traffic'!I9/'Accounts &amp; Traffic'!I14))</f>
        <v>510.3</v>
      </c>
      <c r="J37" s="48">
        <f>IF('Accounts &amp; Traffic'!J14=0,0,'Accounts &amp; Traffic'!J36*('Accounts &amp; Traffic'!J9/'Accounts &amp; Traffic'!J14))</f>
        <v>510.3</v>
      </c>
      <c r="K37" s="48">
        <f>IF('Accounts &amp; Traffic'!K14=0,0,'Accounts &amp; Traffic'!K36*('Accounts &amp; Traffic'!K9/'Accounts &amp; Traffic'!K14))</f>
        <v>510.3</v>
      </c>
      <c r="L37" s="48">
        <f>IF('Accounts &amp; Traffic'!L14=0,0,'Accounts &amp; Traffic'!L36*('Accounts &amp; Traffic'!L9/'Accounts &amp; Traffic'!L14))</f>
        <v>510.3</v>
      </c>
      <c r="M37" s="48">
        <f>IF('Accounts &amp; Traffic'!M14=0,0,'Accounts &amp; Traffic'!M36*('Accounts &amp; Traffic'!M9/'Accounts &amp; Traffic'!M14))</f>
        <v>510.3</v>
      </c>
      <c r="N37" s="48">
        <f>IF('Accounts &amp; Traffic'!N14=0,0,'Accounts &amp; Traffic'!N36*('Accounts &amp; Traffic'!N9/'Accounts &amp; Traffic'!N14))</f>
        <v>765.45</v>
      </c>
      <c r="O37" s="48">
        <f>IF('Accounts &amp; Traffic'!O14=0,0,'Accounts &amp; Traffic'!O36*('Accounts &amp; Traffic'!O9/'Accounts &amp; Traffic'!O14))</f>
        <v>765.45</v>
      </c>
      <c r="P37" s="48">
        <f>IF('Accounts &amp; Traffic'!P14=0,0,'Accounts &amp; Traffic'!P36*('Accounts &amp; Traffic'!P9/'Accounts &amp; Traffic'!P14))</f>
        <v>765.45</v>
      </c>
      <c r="Q37" s="48">
        <f>IF('Accounts &amp; Traffic'!Q14=0,0,'Accounts &amp; Traffic'!Q36*('Accounts &amp; Traffic'!Q9/'Accounts &amp; Traffic'!Q14))</f>
        <v>765.45</v>
      </c>
      <c r="R37" s="48">
        <f>IF('Accounts &amp; Traffic'!R14=0,0,'Accounts &amp; Traffic'!R36*('Accounts &amp; Traffic'!R9/'Accounts &amp; Traffic'!R14))</f>
        <v>765.45</v>
      </c>
      <c r="S37" s="48">
        <f>IF('Accounts &amp; Traffic'!S14=0,0,'Accounts &amp; Traffic'!S36*('Accounts &amp; Traffic'!S9/'Accounts &amp; Traffic'!S14))</f>
        <v>765.45</v>
      </c>
      <c r="T37" s="48">
        <f>IF('Accounts &amp; Traffic'!T14=0,0,'Accounts &amp; Traffic'!T36*('Accounts &amp; Traffic'!T9/'Accounts &amp; Traffic'!T14))</f>
        <v>1020.6</v>
      </c>
      <c r="U37" s="48">
        <f>IF('Accounts &amp; Traffic'!U14=0,0,'Accounts &amp; Traffic'!U36*('Accounts &amp; Traffic'!U9/'Accounts &amp; Traffic'!U14))</f>
        <v>1020.6</v>
      </c>
      <c r="V37" s="48">
        <f>IF('Accounts &amp; Traffic'!V14=0,0,'Accounts &amp; Traffic'!V36*('Accounts &amp; Traffic'!V9/'Accounts &amp; Traffic'!V14))</f>
        <v>1020.6</v>
      </c>
      <c r="W37" s="48">
        <f>IF('Accounts &amp; Traffic'!W14=0,0,'Accounts &amp; Traffic'!W36*('Accounts &amp; Traffic'!W9/'Accounts &amp; Traffic'!W14))</f>
        <v>1020.6</v>
      </c>
      <c r="X37" s="48">
        <f>IF('Accounts &amp; Traffic'!X14=0,0,'Accounts &amp; Traffic'!X36*('Accounts &amp; Traffic'!X9/'Accounts &amp; Traffic'!X14))</f>
        <v>1020.6</v>
      </c>
      <c r="Y37" s="48">
        <f>IF('Accounts &amp; Traffic'!Y14=0,0,'Accounts &amp; Traffic'!Y36*('Accounts &amp; Traffic'!Y9/'Accounts &amp; Traffic'!Y14))</f>
        <v>1020.6</v>
      </c>
      <c r="Z37" s="48">
        <f t="shared" si="0"/>
        <v>15189.93</v>
      </c>
    </row>
    <row r="38" ht="15.75" customHeight="1">
      <c r="A38" s="79" t="s">
        <v>353</v>
      </c>
      <c r="B38" s="48">
        <f>B37*Assumptions!$B$22</f>
        <v>2209.599</v>
      </c>
      <c r="C38" s="48">
        <f>C37*Assumptions!$B$22</f>
        <v>2209.599</v>
      </c>
      <c r="D38" s="48">
        <f>D37*Assumptions!$B$22</f>
        <v>2209.599</v>
      </c>
      <c r="E38" s="48">
        <f>E37*Assumptions!$B$22</f>
        <v>3903.6249</v>
      </c>
      <c r="F38" s="48">
        <f>F37*Assumptions!$B$22</f>
        <v>3903.6249</v>
      </c>
      <c r="G38" s="48">
        <f>G37*Assumptions!$B$22</f>
        <v>3903.6249</v>
      </c>
      <c r="H38" s="48">
        <f>H37*Assumptions!$B$22</f>
        <v>6628.797</v>
      </c>
      <c r="I38" s="48">
        <f>I37*Assumptions!$B$22</f>
        <v>6628.797</v>
      </c>
      <c r="J38" s="48">
        <f>J37*Assumptions!$B$22</f>
        <v>6628.797</v>
      </c>
      <c r="K38" s="48">
        <f>K37*Assumptions!$B$22</f>
        <v>6628.797</v>
      </c>
      <c r="L38" s="48">
        <f>L37*Assumptions!$B$22</f>
        <v>6628.797</v>
      </c>
      <c r="M38" s="48">
        <f>M37*Assumptions!$B$22</f>
        <v>6628.797</v>
      </c>
      <c r="N38" s="48">
        <f>N37*Assumptions!$B$22</f>
        <v>9943.1955</v>
      </c>
      <c r="O38" s="48">
        <f>O37*Assumptions!$B$22</f>
        <v>9943.1955</v>
      </c>
      <c r="P38" s="48">
        <f>P37*Assumptions!$B$22</f>
        <v>9943.1955</v>
      </c>
      <c r="Q38" s="48">
        <f>Q37*Assumptions!$B$22</f>
        <v>9943.1955</v>
      </c>
      <c r="R38" s="48">
        <f>R37*Assumptions!$B$22</f>
        <v>9943.1955</v>
      </c>
      <c r="S38" s="48">
        <f>S37*Assumptions!$B$22</f>
        <v>9943.1955</v>
      </c>
      <c r="T38" s="48">
        <f>T37*Assumptions!$B$22</f>
        <v>13257.594</v>
      </c>
      <c r="U38" s="48">
        <f>U37*Assumptions!$B$22</f>
        <v>13257.594</v>
      </c>
      <c r="V38" s="48">
        <f>V37*Assumptions!$B$22</f>
        <v>13257.594</v>
      </c>
      <c r="W38" s="48">
        <f>W37*Assumptions!$B$22</f>
        <v>13257.594</v>
      </c>
      <c r="X38" s="48">
        <f>X37*Assumptions!$B$22</f>
        <v>13257.594</v>
      </c>
      <c r="Y38" s="48">
        <f>Y37*Assumptions!$B$22</f>
        <v>13257.594</v>
      </c>
      <c r="Z38" s="48">
        <f t="shared" si="0"/>
        <v>197317.1907</v>
      </c>
    </row>
    <row r="39" ht="15" customHeight="1">
      <c r="A39" s="72" t="s">
        <v>320</v>
      </c>
      <c r="B39" s="48">
        <f t="shared" si="1"/>
        <v>51.03</v>
      </c>
      <c r="C39" s="48">
        <f t="shared" si="1"/>
        <v>51.03</v>
      </c>
      <c r="D39" s="48">
        <f t="shared" si="1"/>
        <v>51.03</v>
      </c>
      <c r="E39" s="48">
        <f t="shared" si="1"/>
        <v>90.153</v>
      </c>
      <c r="F39" s="48">
        <f t="shared" si="1"/>
        <v>90.153</v>
      </c>
      <c r="G39" s="48">
        <f t="shared" si="1"/>
        <v>90.153</v>
      </c>
      <c r="H39" s="48">
        <f t="shared" si="1"/>
        <v>153.09</v>
      </c>
      <c r="I39" s="48">
        <f t="shared" si="1"/>
        <v>153.09</v>
      </c>
      <c r="J39" s="48">
        <f t="shared" si="1"/>
        <v>153.09</v>
      </c>
      <c r="K39" s="48">
        <f t="shared" si="1"/>
        <v>153.09</v>
      </c>
      <c r="L39" s="48">
        <f t="shared" si="1"/>
        <v>153.09</v>
      </c>
      <c r="M39" s="48">
        <f t="shared" si="1"/>
        <v>153.09</v>
      </c>
      <c r="N39" s="48">
        <f t="shared" si="1"/>
        <v>229.635</v>
      </c>
      <c r="O39" s="48">
        <f t="shared" si="1"/>
        <v>229.635</v>
      </c>
      <c r="P39" s="48">
        <f t="shared" si="1"/>
        <v>229.635</v>
      </c>
      <c r="Q39" s="48">
        <f t="shared" si="1"/>
        <v>229.635</v>
      </c>
      <c r="R39" s="48">
        <f t="shared" si="1"/>
        <v>229.635</v>
      </c>
      <c r="S39" s="48">
        <f t="shared" si="1"/>
        <v>229.635</v>
      </c>
      <c r="T39" s="48">
        <f t="shared" si="1"/>
        <v>306.18</v>
      </c>
      <c r="U39" s="48">
        <f t="shared" si="1"/>
        <v>306.18</v>
      </c>
      <c r="V39" s="48">
        <f t="shared" si="1"/>
        <v>306.18</v>
      </c>
      <c r="W39" s="48">
        <f t="shared" si="1"/>
        <v>306.18</v>
      </c>
      <c r="X39" s="48">
        <f t="shared" si="1"/>
        <v>306.18</v>
      </c>
      <c r="Y39" s="48">
        <f t="shared" si="1"/>
        <v>306.18</v>
      </c>
      <c r="Z39" s="73">
        <f t="shared" si="0"/>
        <v>4556.979</v>
      </c>
    </row>
    <row r="40" ht="15" customHeight="1">
      <c r="A40" s="72" t="s">
        <v>342</v>
      </c>
      <c r="B40" s="48">
        <f>B39*Assumptions!$C$22</f>
        <v>1224.72</v>
      </c>
      <c r="C40" s="48">
        <f>C39*Assumptions!$C$22</f>
        <v>1224.72</v>
      </c>
      <c r="D40" s="48">
        <f>D39*Assumptions!$C$22</f>
        <v>1224.72</v>
      </c>
      <c r="E40" s="48">
        <f>E39*Assumptions!$C$22</f>
        <v>2163.672</v>
      </c>
      <c r="F40" s="48">
        <f>F39*Assumptions!$C$22</f>
        <v>2163.672</v>
      </c>
      <c r="G40" s="48">
        <f>G39*Assumptions!$C$22</f>
        <v>2163.672</v>
      </c>
      <c r="H40" s="48">
        <f>H39*Assumptions!$C$22</f>
        <v>3674.16</v>
      </c>
      <c r="I40" s="48">
        <f>I39*Assumptions!$C$22</f>
        <v>3674.16</v>
      </c>
      <c r="J40" s="48">
        <f>J39*Assumptions!$C$22</f>
        <v>3674.16</v>
      </c>
      <c r="K40" s="48">
        <f>K39*Assumptions!$C$22</f>
        <v>3674.16</v>
      </c>
      <c r="L40" s="48">
        <f>L39*Assumptions!$C$22</f>
        <v>3674.16</v>
      </c>
      <c r="M40" s="48">
        <f>M39*Assumptions!$C$22</f>
        <v>3674.16</v>
      </c>
      <c r="N40" s="48">
        <f>N39*Assumptions!$C$22</f>
        <v>5511.24</v>
      </c>
      <c r="O40" s="48">
        <f>O39*Assumptions!$C$22</f>
        <v>5511.24</v>
      </c>
      <c r="P40" s="48">
        <f>P39*Assumptions!$C$22</f>
        <v>5511.24</v>
      </c>
      <c r="Q40" s="48">
        <f>Q39*Assumptions!$C$22</f>
        <v>5511.24</v>
      </c>
      <c r="R40" s="48">
        <f>R39*Assumptions!$C$22</f>
        <v>5511.24</v>
      </c>
      <c r="S40" s="48">
        <f>S39*Assumptions!$C$22</f>
        <v>5511.24</v>
      </c>
      <c r="T40" s="48">
        <f>T39*Assumptions!$C$22</f>
        <v>7348.32</v>
      </c>
      <c r="U40" s="48">
        <f>U39*Assumptions!$C$22</f>
        <v>7348.32</v>
      </c>
      <c r="V40" s="48">
        <f>V39*Assumptions!$C$22</f>
        <v>7348.32</v>
      </c>
      <c r="W40" s="48">
        <f>W39*Assumptions!$C$22</f>
        <v>7348.32</v>
      </c>
      <c r="X40" s="48">
        <f>X39*Assumptions!$C$22</f>
        <v>7348.32</v>
      </c>
      <c r="Y40" s="48">
        <f>Y39*Assumptions!$C$22</f>
        <v>7348.32</v>
      </c>
      <c r="Z40" s="73">
        <f t="shared" si="0"/>
        <v>109367.496</v>
      </c>
    </row>
    <row r="41" ht="15" customHeight="1">
      <c r="A41" s="72" t="s">
        <v>323</v>
      </c>
      <c r="B41" s="48">
        <f t="shared" si="2"/>
        <v>20.412</v>
      </c>
      <c r="C41" s="48">
        <f t="shared" si="2"/>
        <v>20.412</v>
      </c>
      <c r="D41" s="48">
        <f t="shared" si="2"/>
        <v>20.412</v>
      </c>
      <c r="E41" s="48">
        <f t="shared" si="2"/>
        <v>36.0612</v>
      </c>
      <c r="F41" s="48">
        <f t="shared" si="2"/>
        <v>36.0612</v>
      </c>
      <c r="G41" s="48">
        <f t="shared" si="2"/>
        <v>36.0612</v>
      </c>
      <c r="H41" s="48">
        <f t="shared" si="2"/>
        <v>61.236</v>
      </c>
      <c r="I41" s="48">
        <f t="shared" si="2"/>
        <v>61.236</v>
      </c>
      <c r="J41" s="48">
        <f t="shared" si="2"/>
        <v>61.236</v>
      </c>
      <c r="K41" s="48">
        <f t="shared" si="2"/>
        <v>61.236</v>
      </c>
      <c r="L41" s="48">
        <f t="shared" si="2"/>
        <v>61.236</v>
      </c>
      <c r="M41" s="48">
        <f t="shared" si="2"/>
        <v>61.236</v>
      </c>
      <c r="N41" s="48">
        <f t="shared" si="2"/>
        <v>91.854</v>
      </c>
      <c r="O41" s="48">
        <f t="shared" si="2"/>
        <v>91.854</v>
      </c>
      <c r="P41" s="48">
        <f t="shared" si="2"/>
        <v>91.854</v>
      </c>
      <c r="Q41" s="48">
        <f t="shared" si="2"/>
        <v>91.854</v>
      </c>
      <c r="R41" s="48">
        <f t="shared" si="2"/>
        <v>91.854</v>
      </c>
      <c r="S41" s="48">
        <f t="shared" si="2"/>
        <v>91.854</v>
      </c>
      <c r="T41" s="48">
        <f t="shared" si="2"/>
        <v>122.472</v>
      </c>
      <c r="U41" s="48">
        <f t="shared" si="2"/>
        <v>122.472</v>
      </c>
      <c r="V41" s="48">
        <f t="shared" si="2"/>
        <v>122.472</v>
      </c>
      <c r="W41" s="48">
        <f t="shared" si="2"/>
        <v>122.472</v>
      </c>
      <c r="X41" s="48">
        <f t="shared" si="2"/>
        <v>122.472</v>
      </c>
      <c r="Y41" s="48">
        <f t="shared" si="2"/>
        <v>122.472</v>
      </c>
      <c r="Z41" s="73">
        <f t="shared" si="0"/>
        <v>1822.7916</v>
      </c>
    </row>
    <row r="42" ht="15" customHeight="1">
      <c r="A42" s="72" t="s">
        <v>343</v>
      </c>
      <c r="B42" s="48">
        <f>B41*Assumptions!$D$22</f>
        <v>408.03588</v>
      </c>
      <c r="C42" s="48">
        <f>C41*Assumptions!$D$22</f>
        <v>408.03588</v>
      </c>
      <c r="D42" s="48">
        <f>D41*Assumptions!$D$22</f>
        <v>408.03588</v>
      </c>
      <c r="E42" s="48">
        <f>E41*Assumptions!$D$22</f>
        <v>720.863388</v>
      </c>
      <c r="F42" s="48">
        <f>F41*Assumptions!$D$22</f>
        <v>720.863388</v>
      </c>
      <c r="G42" s="48">
        <f>G41*Assumptions!$D$22</f>
        <v>720.863388</v>
      </c>
      <c r="H42" s="48">
        <f>H41*Assumptions!$D$22</f>
        <v>1224.10764</v>
      </c>
      <c r="I42" s="48">
        <f>I41*Assumptions!$D$22</f>
        <v>1224.10764</v>
      </c>
      <c r="J42" s="48">
        <f>J41*Assumptions!$D$22</f>
        <v>1224.10764</v>
      </c>
      <c r="K42" s="48">
        <f>K41*Assumptions!$D$22</f>
        <v>1224.10764</v>
      </c>
      <c r="L42" s="48">
        <f>L41*Assumptions!$D$22</f>
        <v>1224.10764</v>
      </c>
      <c r="M42" s="48">
        <f>M41*Assumptions!$D$22</f>
        <v>1224.10764</v>
      </c>
      <c r="N42" s="48">
        <f>N41*Assumptions!$D$22</f>
        <v>1836.16146</v>
      </c>
      <c r="O42" s="48">
        <f>O41*Assumptions!$D$22</f>
        <v>1836.16146</v>
      </c>
      <c r="P42" s="48">
        <f>P41*Assumptions!$D$22</f>
        <v>1836.16146</v>
      </c>
      <c r="Q42" s="48">
        <f>Q41*Assumptions!$D$22</f>
        <v>1836.16146</v>
      </c>
      <c r="R42" s="48">
        <f>R41*Assumptions!$D$22</f>
        <v>1836.16146</v>
      </c>
      <c r="S42" s="48">
        <f>S41*Assumptions!$D$22</f>
        <v>1836.16146</v>
      </c>
      <c r="T42" s="48">
        <f>T41*Assumptions!$D$22</f>
        <v>2448.21528</v>
      </c>
      <c r="U42" s="48">
        <f>U41*Assumptions!$D$22</f>
        <v>2448.21528</v>
      </c>
      <c r="V42" s="48">
        <f>V41*Assumptions!$D$22</f>
        <v>2448.21528</v>
      </c>
      <c r="W42" s="48">
        <f>W41*Assumptions!$D$22</f>
        <v>2448.21528</v>
      </c>
      <c r="X42" s="48">
        <f>X41*Assumptions!$D$22</f>
        <v>2448.21528</v>
      </c>
      <c r="Y42" s="48">
        <f>Y41*Assumptions!$D$22</f>
        <v>2448.21528</v>
      </c>
      <c r="Z42" s="73">
        <f t="shared" si="0"/>
        <v>36437.604084</v>
      </c>
    </row>
    <row r="43" ht="15" customHeight="1">
      <c r="A43" s="72" t="s">
        <v>326</v>
      </c>
      <c r="B43" s="48">
        <f>B39*Assumptions!$B$32</f>
        <v>6.37875</v>
      </c>
      <c r="C43" s="48">
        <f>C39*Assumptions!$B$32</f>
        <v>6.37875</v>
      </c>
      <c r="D43" s="48">
        <f>D39*Assumptions!$B$32</f>
        <v>6.37875</v>
      </c>
      <c r="E43" s="48">
        <f>E39*Assumptions!$B$32</f>
        <v>11.269125</v>
      </c>
      <c r="F43" s="48">
        <f>F39*Assumptions!$B$32</f>
        <v>11.269125</v>
      </c>
      <c r="G43" s="48">
        <f>G39*Assumptions!$B$32</f>
        <v>11.269125</v>
      </c>
      <c r="H43" s="48">
        <f>H39*Assumptions!$B$32</f>
        <v>19.13625</v>
      </c>
      <c r="I43" s="48">
        <f>I39*Assumptions!$B$32</f>
        <v>19.13625</v>
      </c>
      <c r="J43" s="48">
        <f>J39*Assumptions!$B$32</f>
        <v>19.13625</v>
      </c>
      <c r="K43" s="48">
        <f>K39*Assumptions!$B$32</f>
        <v>19.13625</v>
      </c>
      <c r="L43" s="48">
        <f>L39*Assumptions!$B$32</f>
        <v>19.13625</v>
      </c>
      <c r="M43" s="48">
        <f>M39*Assumptions!$B$32</f>
        <v>19.13625</v>
      </c>
      <c r="N43" s="48">
        <f>N39*Assumptions!$B$32</f>
        <v>28.704375</v>
      </c>
      <c r="O43" s="48">
        <f>O39*Assumptions!$B$32</f>
        <v>28.704375</v>
      </c>
      <c r="P43" s="48">
        <f>P39*Assumptions!$B$32</f>
        <v>28.704375</v>
      </c>
      <c r="Q43" s="48">
        <f>Q39*Assumptions!$B$32</f>
        <v>28.704375</v>
      </c>
      <c r="R43" s="48">
        <f>R39*Assumptions!$B$32</f>
        <v>28.704375</v>
      </c>
      <c r="S43" s="48">
        <f>S39*Assumptions!$B$32</f>
        <v>28.704375</v>
      </c>
      <c r="T43" s="48">
        <f>T39*Assumptions!$B$32</f>
        <v>38.2725</v>
      </c>
      <c r="U43" s="48">
        <f>U39*Assumptions!$B$32</f>
        <v>38.2725</v>
      </c>
      <c r="V43" s="48">
        <f>V39*Assumptions!$B$32</f>
        <v>38.2725</v>
      </c>
      <c r="W43" s="48">
        <f>W39*Assumptions!$B$32</f>
        <v>38.2725</v>
      </c>
      <c r="X43" s="48">
        <f>X39*Assumptions!$B$32</f>
        <v>38.2725</v>
      </c>
      <c r="Y43" s="48">
        <f>Y39*Assumptions!$B$32</f>
        <v>38.2725</v>
      </c>
      <c r="Z43" s="73">
        <f t="shared" si="0"/>
        <v>569.622375</v>
      </c>
    </row>
    <row r="44" ht="15" customHeight="1">
      <c r="A44" s="72" t="s">
        <v>344</v>
      </c>
      <c r="B44" s="48">
        <f t="shared" si="3"/>
        <v>3842.35488</v>
      </c>
      <c r="C44" s="48">
        <f t="shared" si="3"/>
        <v>3842.35488</v>
      </c>
      <c r="D44" s="48">
        <f t="shared" si="3"/>
        <v>3842.35488</v>
      </c>
      <c r="E44" s="48">
        <f t="shared" si="3"/>
        <v>6788.160288</v>
      </c>
      <c r="F44" s="48">
        <f t="shared" si="3"/>
        <v>6788.160288</v>
      </c>
      <c r="G44" s="48">
        <f t="shared" si="3"/>
        <v>6788.160288</v>
      </c>
      <c r="H44" s="48">
        <f t="shared" si="3"/>
        <v>11527.06464</v>
      </c>
      <c r="I44" s="48">
        <f t="shared" si="3"/>
        <v>11527.06464</v>
      </c>
      <c r="J44" s="48">
        <f t="shared" si="3"/>
        <v>11527.06464</v>
      </c>
      <c r="K44" s="48">
        <f t="shared" si="3"/>
        <v>11527.06464</v>
      </c>
      <c r="L44" s="48">
        <f t="shared" si="3"/>
        <v>11527.06464</v>
      </c>
      <c r="M44" s="48">
        <f t="shared" si="3"/>
        <v>11527.06464</v>
      </c>
      <c r="N44" s="48">
        <f t="shared" si="3"/>
        <v>17290.59696</v>
      </c>
      <c r="O44" s="48">
        <f t="shared" si="3"/>
        <v>17290.59696</v>
      </c>
      <c r="P44" s="48">
        <f t="shared" si="3"/>
        <v>17290.59696</v>
      </c>
      <c r="Q44" s="48">
        <f t="shared" si="3"/>
        <v>17290.59696</v>
      </c>
      <c r="R44" s="48">
        <f t="shared" si="3"/>
        <v>17290.59696</v>
      </c>
      <c r="S44" s="48">
        <f t="shared" si="3"/>
        <v>17290.59696</v>
      </c>
      <c r="T44" s="48">
        <f t="shared" si="3"/>
        <v>23054.12928</v>
      </c>
      <c r="U44" s="48">
        <f t="shared" si="3"/>
        <v>23054.12928</v>
      </c>
      <c r="V44" s="48">
        <f t="shared" si="3"/>
        <v>23054.12928</v>
      </c>
      <c r="W44" s="48">
        <f t="shared" si="3"/>
        <v>23054.12928</v>
      </c>
      <c r="X44" s="48">
        <f t="shared" si="3"/>
        <v>23054.12928</v>
      </c>
      <c r="Y44" s="48">
        <f t="shared" si="3"/>
        <v>23054.12928</v>
      </c>
      <c r="Z44" s="73">
        <f t="shared" si="0"/>
        <v>343122.290784</v>
      </c>
    </row>
    <row r="45" ht="15" customHeight="1"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73"/>
    </row>
    <row r="46" ht="15" customHeight="1">
      <c r="A46" s="80" t="s">
        <v>354</v>
      </c>
      <c r="B46" s="48">
        <f t="shared" si="3"/>
        <v>5475.11076</v>
      </c>
      <c r="C46" s="48">
        <f t="shared" si="3"/>
        <v>5475.11076</v>
      </c>
      <c r="D46" s="48">
        <f t="shared" si="3"/>
        <v>5475.11076</v>
      </c>
      <c r="E46" s="48">
        <f t="shared" si="3"/>
        <v>9672.695676</v>
      </c>
      <c r="F46" s="48">
        <f t="shared" si="3"/>
        <v>9672.695676</v>
      </c>
      <c r="G46" s="48">
        <f t="shared" si="3"/>
        <v>9672.695676</v>
      </c>
      <c r="H46" s="48">
        <f t="shared" si="3"/>
        <v>16425.33228</v>
      </c>
      <c r="I46" s="48">
        <f t="shared" si="3"/>
        <v>16425.33228</v>
      </c>
      <c r="J46" s="48">
        <f t="shared" si="3"/>
        <v>16425.33228</v>
      </c>
      <c r="K46" s="48">
        <f t="shared" si="3"/>
        <v>16425.33228</v>
      </c>
      <c r="L46" s="48">
        <f t="shared" si="3"/>
        <v>16425.33228</v>
      </c>
      <c r="M46" s="48">
        <f t="shared" si="3"/>
        <v>16425.33228</v>
      </c>
      <c r="N46" s="48">
        <f t="shared" si="3"/>
        <v>24637.99842</v>
      </c>
      <c r="O46" s="48">
        <f t="shared" si="3"/>
        <v>24637.99842</v>
      </c>
      <c r="P46" s="48">
        <f t="shared" si="3"/>
        <v>24637.99842</v>
      </c>
      <c r="Q46" s="48">
        <f t="shared" si="3"/>
        <v>24637.99842</v>
      </c>
      <c r="R46" s="48">
        <f t="shared" si="3"/>
        <v>24637.99842</v>
      </c>
      <c r="S46" s="48">
        <f t="shared" si="3"/>
        <v>24637.99842</v>
      </c>
      <c r="T46" s="48">
        <f t="shared" si="3"/>
        <v>32850.66456</v>
      </c>
      <c r="U46" s="48">
        <f t="shared" si="3"/>
        <v>32850.66456</v>
      </c>
      <c r="V46" s="48">
        <f t="shared" si="3"/>
        <v>32850.66456</v>
      </c>
      <c r="W46" s="48">
        <f t="shared" si="3"/>
        <v>32850.66456</v>
      </c>
      <c r="X46" s="48">
        <f t="shared" si="3"/>
        <v>32850.66456</v>
      </c>
      <c r="Y46" s="48">
        <f t="shared" si="3"/>
        <v>32850.66456</v>
      </c>
      <c r="Z46" s="73">
        <f t="shared" si="0"/>
        <v>488927.390868</v>
      </c>
    </row>
    <row r="47" ht="15" customHeight="1">
      <c r="A47" s="80" t="s">
        <v>355</v>
      </c>
      <c r="B47" s="48">
        <f>IF('Accounts &amp; Traffic'!B14=0,0,'Accounts &amp; Traffic'!B36*('Accounts &amp; Traffic'!B10/'Accounts &amp; Traffic'!B14))</f>
        <v>170.1</v>
      </c>
      <c r="C47" s="48">
        <f>IF('Accounts &amp; Traffic'!C14=0,0,'Accounts &amp; Traffic'!C36*('Accounts &amp; Traffic'!C10/'Accounts &amp; Traffic'!C14))</f>
        <v>170.1</v>
      </c>
      <c r="D47" s="48">
        <f>IF('Accounts &amp; Traffic'!D14=0,0,'Accounts &amp; Traffic'!D36*('Accounts &amp; Traffic'!D10/'Accounts &amp; Traffic'!D14))</f>
        <v>170.1</v>
      </c>
      <c r="E47" s="48">
        <f>IF('Accounts &amp; Traffic'!E14=0,0,'Accounts &amp; Traffic'!E36*('Accounts &amp; Traffic'!E10/'Accounts &amp; Traffic'!E14))</f>
        <v>300.51</v>
      </c>
      <c r="F47" s="48">
        <f>IF('Accounts &amp; Traffic'!F14=0,0,'Accounts &amp; Traffic'!F36*('Accounts &amp; Traffic'!F10/'Accounts &amp; Traffic'!F14))</f>
        <v>300.51</v>
      </c>
      <c r="G47" s="48">
        <f>IF('Accounts &amp; Traffic'!G14=0,0,'Accounts &amp; Traffic'!G36*('Accounts &amp; Traffic'!G10/'Accounts &amp; Traffic'!G14))</f>
        <v>300.51</v>
      </c>
      <c r="H47" s="48">
        <f>IF('Accounts &amp; Traffic'!H14=0,0,'Accounts &amp; Traffic'!H36*('Accounts &amp; Traffic'!H10/'Accounts &amp; Traffic'!H14))</f>
        <v>510.3</v>
      </c>
      <c r="I47" s="48">
        <f>IF('Accounts &amp; Traffic'!I14=0,0,'Accounts &amp; Traffic'!I36*('Accounts &amp; Traffic'!I10/'Accounts &amp; Traffic'!I14))</f>
        <v>510.3</v>
      </c>
      <c r="J47" s="48">
        <f>IF('Accounts &amp; Traffic'!J14=0,0,'Accounts &amp; Traffic'!J36*('Accounts &amp; Traffic'!J10/'Accounts &amp; Traffic'!J14))</f>
        <v>510.3</v>
      </c>
      <c r="K47" s="48">
        <f>IF('Accounts &amp; Traffic'!K14=0,0,'Accounts &amp; Traffic'!K36*('Accounts &amp; Traffic'!K10/'Accounts &amp; Traffic'!K14))</f>
        <v>510.3</v>
      </c>
      <c r="L47" s="48">
        <f>IF('Accounts &amp; Traffic'!L14=0,0,'Accounts &amp; Traffic'!L36*('Accounts &amp; Traffic'!L10/'Accounts &amp; Traffic'!L14))</f>
        <v>510.3</v>
      </c>
      <c r="M47" s="48">
        <f>IF('Accounts &amp; Traffic'!M14=0,0,'Accounts &amp; Traffic'!M36*('Accounts &amp; Traffic'!M10/'Accounts &amp; Traffic'!M14))</f>
        <v>510.3</v>
      </c>
      <c r="N47" s="48">
        <f>IF('Accounts &amp; Traffic'!N14=0,0,'Accounts &amp; Traffic'!N36*('Accounts &amp; Traffic'!N10/'Accounts &amp; Traffic'!N14))</f>
        <v>765.45</v>
      </c>
      <c r="O47" s="48">
        <f>IF('Accounts &amp; Traffic'!O14=0,0,'Accounts &amp; Traffic'!O36*('Accounts &amp; Traffic'!O10/'Accounts &amp; Traffic'!O14))</f>
        <v>765.45</v>
      </c>
      <c r="P47" s="48">
        <f>IF('Accounts &amp; Traffic'!P14=0,0,'Accounts &amp; Traffic'!P36*('Accounts &amp; Traffic'!P10/'Accounts &amp; Traffic'!P14))</f>
        <v>765.45</v>
      </c>
      <c r="Q47" s="48">
        <f>IF('Accounts &amp; Traffic'!Q14=0,0,'Accounts &amp; Traffic'!Q36*('Accounts &amp; Traffic'!Q10/'Accounts &amp; Traffic'!Q14))</f>
        <v>765.45</v>
      </c>
      <c r="R47" s="48">
        <f>IF('Accounts &amp; Traffic'!R14=0,0,'Accounts &amp; Traffic'!R36*('Accounts &amp; Traffic'!R10/'Accounts &amp; Traffic'!R14))</f>
        <v>765.45</v>
      </c>
      <c r="S47" s="48">
        <f>IF('Accounts &amp; Traffic'!S14=0,0,'Accounts &amp; Traffic'!S36*('Accounts &amp; Traffic'!S10/'Accounts &amp; Traffic'!S14))</f>
        <v>765.45</v>
      </c>
      <c r="T47" s="48">
        <f>IF('Accounts &amp; Traffic'!T14=0,0,'Accounts &amp; Traffic'!T36*('Accounts &amp; Traffic'!T10/'Accounts &amp; Traffic'!T14))</f>
        <v>1020.6</v>
      </c>
      <c r="U47" s="48">
        <f>IF('Accounts &amp; Traffic'!U14=0,0,'Accounts &amp; Traffic'!U36*('Accounts &amp; Traffic'!U10/'Accounts &amp; Traffic'!U14))</f>
        <v>1020.6</v>
      </c>
      <c r="V47" s="48">
        <f>IF('Accounts &amp; Traffic'!V14=0,0,'Accounts &amp; Traffic'!V36*('Accounts &amp; Traffic'!V10/'Accounts &amp; Traffic'!V14))</f>
        <v>1020.6</v>
      </c>
      <c r="W47" s="48">
        <f>IF('Accounts &amp; Traffic'!W14=0,0,'Accounts &amp; Traffic'!W36*('Accounts &amp; Traffic'!W10/'Accounts &amp; Traffic'!W14))</f>
        <v>1020.6</v>
      </c>
      <c r="X47" s="48">
        <f>IF('Accounts &amp; Traffic'!X14=0,0,'Accounts &amp; Traffic'!X36*('Accounts &amp; Traffic'!X10/'Accounts &amp; Traffic'!X14))</f>
        <v>1020.6</v>
      </c>
      <c r="Y47" s="48">
        <f>IF('Accounts &amp; Traffic'!Y14=0,0,'Accounts &amp; Traffic'!Y36*('Accounts &amp; Traffic'!Y10/'Accounts &amp; Traffic'!Y14))</f>
        <v>1020.6</v>
      </c>
      <c r="Z47" s="73">
        <f t="shared" si="0"/>
        <v>15189.93</v>
      </c>
    </row>
    <row r="48" ht="15" customHeight="1">
      <c r="B48" s="48">
        <f>B47*Assumptions!$B$23</f>
        <v>2549.799</v>
      </c>
      <c r="C48" s="48">
        <f>C47*Assumptions!$B$23</f>
        <v>2549.799</v>
      </c>
      <c r="D48" s="48">
        <f>D47*Assumptions!$B$23</f>
        <v>2549.799</v>
      </c>
      <c r="E48" s="48">
        <f>E47*Assumptions!$B$23</f>
        <v>4504.6449</v>
      </c>
      <c r="F48" s="48">
        <f>F47*Assumptions!$B$23</f>
        <v>4504.6449</v>
      </c>
      <c r="G48" s="48">
        <f>G47*Assumptions!$B$23</f>
        <v>4504.6449</v>
      </c>
      <c r="H48" s="48">
        <f>H47*Assumptions!$B$23</f>
        <v>7649.397</v>
      </c>
      <c r="I48" s="48">
        <f>I47*Assumptions!$B$23</f>
        <v>7649.397</v>
      </c>
      <c r="J48" s="48">
        <f>J47*Assumptions!$B$23</f>
        <v>7649.397</v>
      </c>
      <c r="K48" s="48">
        <f>K47*Assumptions!$B$23</f>
        <v>7649.397</v>
      </c>
      <c r="L48" s="48">
        <f>L47*Assumptions!$B$23</f>
        <v>7649.397</v>
      </c>
      <c r="M48" s="48">
        <f>M47*Assumptions!$B$23</f>
        <v>7649.397</v>
      </c>
      <c r="N48" s="48">
        <f>N47*Assumptions!$B$23</f>
        <v>11474.0955</v>
      </c>
      <c r="O48" s="48">
        <f>O47*Assumptions!$B$23</f>
        <v>11474.0955</v>
      </c>
      <c r="P48" s="48">
        <f>P47*Assumptions!$B$23</f>
        <v>11474.0955</v>
      </c>
      <c r="Q48" s="48">
        <f>Q47*Assumptions!$B$23</f>
        <v>11474.0955</v>
      </c>
      <c r="R48" s="48">
        <f>R47*Assumptions!$B$23</f>
        <v>11474.0955</v>
      </c>
      <c r="S48" s="48">
        <f>S47*Assumptions!$B$23</f>
        <v>11474.0955</v>
      </c>
      <c r="T48" s="48">
        <f>T47*Assumptions!$B$23</f>
        <v>15298.794</v>
      </c>
      <c r="U48" s="48">
        <f>U47*Assumptions!$B$23</f>
        <v>15298.794</v>
      </c>
      <c r="V48" s="48">
        <f>V47*Assumptions!$B$23</f>
        <v>15298.794</v>
      </c>
      <c r="W48" s="48">
        <f>W47*Assumptions!$B$23</f>
        <v>15298.794</v>
      </c>
      <c r="X48" s="48">
        <f>X47*Assumptions!$B$23</f>
        <v>15298.794</v>
      </c>
      <c r="Y48" s="48">
        <f>Y47*Assumptions!$B$23</f>
        <v>15298.794</v>
      </c>
      <c r="Z48" s="48">
        <f t="shared" si="0"/>
        <v>227697.0507</v>
      </c>
    </row>
    <row r="49" ht="15.75" customHeight="1">
      <c r="A49" s="81" t="s">
        <v>356</v>
      </c>
      <c r="B49" s="48">
        <f t="shared" si="1"/>
        <v>51.03</v>
      </c>
      <c r="C49" s="48">
        <f t="shared" si="1"/>
        <v>51.03</v>
      </c>
      <c r="D49" s="48">
        <f t="shared" si="1"/>
        <v>51.03</v>
      </c>
      <c r="E49" s="48">
        <f t="shared" si="1"/>
        <v>90.153</v>
      </c>
      <c r="F49" s="48">
        <f t="shared" si="1"/>
        <v>90.153</v>
      </c>
      <c r="G49" s="48">
        <f t="shared" si="1"/>
        <v>90.153</v>
      </c>
      <c r="H49" s="48">
        <f t="shared" si="1"/>
        <v>153.09</v>
      </c>
      <c r="I49" s="48">
        <f t="shared" si="1"/>
        <v>153.09</v>
      </c>
      <c r="J49" s="48">
        <f t="shared" si="1"/>
        <v>153.09</v>
      </c>
      <c r="K49" s="48">
        <f t="shared" si="1"/>
        <v>153.09</v>
      </c>
      <c r="L49" s="48">
        <f t="shared" si="1"/>
        <v>153.09</v>
      </c>
      <c r="M49" s="48">
        <f t="shared" si="1"/>
        <v>153.09</v>
      </c>
      <c r="N49" s="48">
        <f t="shared" si="1"/>
        <v>229.635</v>
      </c>
      <c r="O49" s="48">
        <f t="shared" si="1"/>
        <v>229.635</v>
      </c>
      <c r="P49" s="48">
        <f t="shared" si="1"/>
        <v>229.635</v>
      </c>
      <c r="Q49" s="48">
        <f t="shared" si="1"/>
        <v>229.635</v>
      </c>
      <c r="R49" s="48">
        <f t="shared" si="1"/>
        <v>229.635</v>
      </c>
      <c r="S49" s="48">
        <f t="shared" si="1"/>
        <v>229.635</v>
      </c>
      <c r="T49" s="48">
        <f t="shared" si="1"/>
        <v>306.18</v>
      </c>
      <c r="U49" s="48">
        <f t="shared" si="1"/>
        <v>306.18</v>
      </c>
      <c r="V49" s="48">
        <f t="shared" si="1"/>
        <v>306.18</v>
      </c>
      <c r="W49" s="48">
        <f t="shared" si="1"/>
        <v>306.18</v>
      </c>
      <c r="X49" s="48">
        <f t="shared" si="1"/>
        <v>306.18</v>
      </c>
      <c r="Y49" s="48">
        <f t="shared" si="1"/>
        <v>306.18</v>
      </c>
      <c r="Z49" s="48">
        <f t="shared" si="0"/>
        <v>4556.979</v>
      </c>
    </row>
    <row r="50" ht="15" customHeight="1">
      <c r="A50" s="72" t="s">
        <v>320</v>
      </c>
      <c r="B50" s="48">
        <f>B49*Assumptions!$C$23</f>
        <v>1735.02</v>
      </c>
      <c r="C50" s="48">
        <f>C49*Assumptions!$C$23</f>
        <v>1735.02</v>
      </c>
      <c r="D50" s="48">
        <f>D49*Assumptions!$C$23</f>
        <v>1735.02</v>
      </c>
      <c r="E50" s="48">
        <f>E49*Assumptions!$C$23</f>
        <v>3065.202</v>
      </c>
      <c r="F50" s="48">
        <f>F49*Assumptions!$C$23</f>
        <v>3065.202</v>
      </c>
      <c r="G50" s="48">
        <f>G49*Assumptions!$C$23</f>
        <v>3065.202</v>
      </c>
      <c r="H50" s="48">
        <f>H49*Assumptions!$C$23</f>
        <v>5205.06</v>
      </c>
      <c r="I50" s="48">
        <f>I49*Assumptions!$C$23</f>
        <v>5205.06</v>
      </c>
      <c r="J50" s="48">
        <f>J49*Assumptions!$C$23</f>
        <v>5205.06</v>
      </c>
      <c r="K50" s="48">
        <f>K49*Assumptions!$C$23</f>
        <v>5205.06</v>
      </c>
      <c r="L50" s="48">
        <f>L49*Assumptions!$C$23</f>
        <v>5205.06</v>
      </c>
      <c r="M50" s="48">
        <f>M49*Assumptions!$C$23</f>
        <v>5205.06</v>
      </c>
      <c r="N50" s="48">
        <f>N49*Assumptions!$C$23</f>
        <v>7807.59</v>
      </c>
      <c r="O50" s="48">
        <f>O49*Assumptions!$C$23</f>
        <v>7807.59</v>
      </c>
      <c r="P50" s="48">
        <f>P49*Assumptions!$C$23</f>
        <v>7807.59</v>
      </c>
      <c r="Q50" s="48">
        <f>Q49*Assumptions!$C$23</f>
        <v>7807.59</v>
      </c>
      <c r="R50" s="48">
        <f>R49*Assumptions!$C$23</f>
        <v>7807.59</v>
      </c>
      <c r="S50" s="48">
        <f>S49*Assumptions!$C$23</f>
        <v>7807.59</v>
      </c>
      <c r="T50" s="48">
        <f>T49*Assumptions!$C$23</f>
        <v>10410.12</v>
      </c>
      <c r="U50" s="48">
        <f>U49*Assumptions!$C$23</f>
        <v>10410.12</v>
      </c>
      <c r="V50" s="48">
        <f>V49*Assumptions!$C$23</f>
        <v>10410.12</v>
      </c>
      <c r="W50" s="48">
        <f>W49*Assumptions!$C$23</f>
        <v>10410.12</v>
      </c>
      <c r="X50" s="48">
        <f>X49*Assumptions!$C$23</f>
        <v>10410.12</v>
      </c>
      <c r="Y50" s="48">
        <f>Y49*Assumptions!$C$23</f>
        <v>10410.12</v>
      </c>
      <c r="Z50" s="73">
        <f t="shared" si="0"/>
        <v>154937.286</v>
      </c>
    </row>
    <row r="51" ht="15" customHeight="1">
      <c r="A51" s="72" t="s">
        <v>342</v>
      </c>
      <c r="B51" s="48">
        <f t="shared" si="2"/>
        <v>20.412</v>
      </c>
      <c r="C51" s="48">
        <f t="shared" si="2"/>
        <v>20.412</v>
      </c>
      <c r="D51" s="48">
        <f t="shared" si="2"/>
        <v>20.412</v>
      </c>
      <c r="E51" s="48">
        <f t="shared" si="2"/>
        <v>36.0612</v>
      </c>
      <c r="F51" s="48">
        <f t="shared" si="2"/>
        <v>36.0612</v>
      </c>
      <c r="G51" s="48">
        <f t="shared" si="2"/>
        <v>36.0612</v>
      </c>
      <c r="H51" s="48">
        <f t="shared" si="2"/>
        <v>61.236</v>
      </c>
      <c r="I51" s="48">
        <f t="shared" si="2"/>
        <v>61.236</v>
      </c>
      <c r="J51" s="48">
        <f t="shared" si="2"/>
        <v>61.236</v>
      </c>
      <c r="K51" s="48">
        <f t="shared" si="2"/>
        <v>61.236</v>
      </c>
      <c r="L51" s="48">
        <f t="shared" si="2"/>
        <v>61.236</v>
      </c>
      <c r="M51" s="48">
        <f t="shared" si="2"/>
        <v>61.236</v>
      </c>
      <c r="N51" s="48">
        <f t="shared" si="2"/>
        <v>91.854</v>
      </c>
      <c r="O51" s="48">
        <f t="shared" si="2"/>
        <v>91.854</v>
      </c>
      <c r="P51" s="48">
        <f t="shared" si="2"/>
        <v>91.854</v>
      </c>
      <c r="Q51" s="48">
        <f t="shared" si="2"/>
        <v>91.854</v>
      </c>
      <c r="R51" s="48">
        <f t="shared" si="2"/>
        <v>91.854</v>
      </c>
      <c r="S51" s="48">
        <f t="shared" si="2"/>
        <v>91.854</v>
      </c>
      <c r="T51" s="48">
        <f t="shared" si="2"/>
        <v>122.472</v>
      </c>
      <c r="U51" s="48">
        <f t="shared" si="2"/>
        <v>122.472</v>
      </c>
      <c r="V51" s="48">
        <f t="shared" si="2"/>
        <v>122.472</v>
      </c>
      <c r="W51" s="48">
        <f t="shared" si="2"/>
        <v>122.472</v>
      </c>
      <c r="X51" s="48">
        <f t="shared" si="2"/>
        <v>122.472</v>
      </c>
      <c r="Y51" s="48">
        <f t="shared" si="2"/>
        <v>122.472</v>
      </c>
      <c r="Z51" s="73">
        <f t="shared" si="0"/>
        <v>1822.7916</v>
      </c>
    </row>
    <row r="52" ht="15" customHeight="1">
      <c r="A52" s="72" t="s">
        <v>323</v>
      </c>
      <c r="B52" s="48">
        <f>B51*Assumptions!$D$23</f>
        <v>1367.604</v>
      </c>
      <c r="C52" s="48">
        <f>C51*Assumptions!$D$23</f>
        <v>1367.604</v>
      </c>
      <c r="D52" s="48">
        <f>D51*Assumptions!$D$23</f>
        <v>1367.604</v>
      </c>
      <c r="E52" s="48">
        <f>E51*Assumptions!$D$23</f>
        <v>2416.1004</v>
      </c>
      <c r="F52" s="48">
        <f>F51*Assumptions!$D$23</f>
        <v>2416.1004</v>
      </c>
      <c r="G52" s="48">
        <f>G51*Assumptions!$D$23</f>
        <v>2416.1004</v>
      </c>
      <c r="H52" s="48">
        <f>H51*Assumptions!$D$23</f>
        <v>4102.812</v>
      </c>
      <c r="I52" s="48">
        <f>I51*Assumptions!$D$23</f>
        <v>4102.812</v>
      </c>
      <c r="J52" s="48">
        <f>J51*Assumptions!$D$23</f>
        <v>4102.812</v>
      </c>
      <c r="K52" s="48">
        <f>K51*Assumptions!$D$23</f>
        <v>4102.812</v>
      </c>
      <c r="L52" s="48">
        <f>L51*Assumptions!$D$23</f>
        <v>4102.812</v>
      </c>
      <c r="M52" s="48">
        <f>M51*Assumptions!$D$23</f>
        <v>4102.812</v>
      </c>
      <c r="N52" s="48">
        <f>N51*Assumptions!$D$23</f>
        <v>6154.218</v>
      </c>
      <c r="O52" s="48">
        <f>O51*Assumptions!$D$23</f>
        <v>6154.218</v>
      </c>
      <c r="P52" s="48">
        <f>P51*Assumptions!$D$23</f>
        <v>6154.218</v>
      </c>
      <c r="Q52" s="48">
        <f>Q51*Assumptions!$D$23</f>
        <v>6154.218</v>
      </c>
      <c r="R52" s="48">
        <f>R51*Assumptions!$D$23</f>
        <v>6154.218</v>
      </c>
      <c r="S52" s="48">
        <f>S51*Assumptions!$D$23</f>
        <v>6154.218</v>
      </c>
      <c r="T52" s="48">
        <f>T51*Assumptions!$D$23</f>
        <v>8205.624</v>
      </c>
      <c r="U52" s="48">
        <f>U51*Assumptions!$D$23</f>
        <v>8205.624</v>
      </c>
      <c r="V52" s="48">
        <f>V51*Assumptions!$D$23</f>
        <v>8205.624</v>
      </c>
      <c r="W52" s="48">
        <f>W51*Assumptions!$D$23</f>
        <v>8205.624</v>
      </c>
      <c r="X52" s="48">
        <f>X51*Assumptions!$D$23</f>
        <v>8205.624</v>
      </c>
      <c r="Y52" s="48">
        <f>Y51*Assumptions!$D$23</f>
        <v>8205.624</v>
      </c>
      <c r="Z52" s="73">
        <f t="shared" si="0"/>
        <v>122127.0372</v>
      </c>
    </row>
    <row r="53" ht="15" customHeight="1">
      <c r="A53" s="72" t="s">
        <v>343</v>
      </c>
      <c r="B53" s="48">
        <f>B52*Assumptions!$D$23</f>
        <v>91629.468</v>
      </c>
      <c r="C53" s="48">
        <f>C52*Assumptions!$D$23</f>
        <v>91629.468</v>
      </c>
      <c r="D53" s="48">
        <f>D52*Assumptions!$D$23</f>
        <v>91629.468</v>
      </c>
      <c r="E53" s="48">
        <f>E52*Assumptions!$D$23</f>
        <v>161878.7268</v>
      </c>
      <c r="F53" s="48">
        <f>F52*Assumptions!$D$23</f>
        <v>161878.7268</v>
      </c>
      <c r="G53" s="48">
        <f>G52*Assumptions!$D$23</f>
        <v>161878.7268</v>
      </c>
      <c r="H53" s="48">
        <f>H52*Assumptions!$D$23</f>
        <v>274888.404</v>
      </c>
      <c r="I53" s="48">
        <f>I52*Assumptions!$D$23</f>
        <v>274888.404</v>
      </c>
      <c r="J53" s="48">
        <f>J52*Assumptions!$D$23</f>
        <v>274888.404</v>
      </c>
      <c r="K53" s="48">
        <f>K52*Assumptions!$D$23</f>
        <v>274888.404</v>
      </c>
      <c r="L53" s="48">
        <f>L52*Assumptions!$D$23</f>
        <v>274888.404</v>
      </c>
      <c r="M53" s="48">
        <f>M52*Assumptions!$D$23</f>
        <v>274888.404</v>
      </c>
      <c r="N53" s="48">
        <f>N52*Assumptions!$D$23</f>
        <v>412332.606</v>
      </c>
      <c r="O53" s="48">
        <f>O52*Assumptions!$D$23</f>
        <v>412332.606</v>
      </c>
      <c r="P53" s="48">
        <f>P52*Assumptions!$D$23</f>
        <v>412332.606</v>
      </c>
      <c r="Q53" s="48">
        <f>Q52*Assumptions!$D$23</f>
        <v>412332.606</v>
      </c>
      <c r="R53" s="48">
        <f>R52*Assumptions!$D$23</f>
        <v>412332.606</v>
      </c>
      <c r="S53" s="48">
        <f>S52*Assumptions!$D$23</f>
        <v>412332.606</v>
      </c>
      <c r="T53" s="48">
        <f>T52*Assumptions!$D$23</f>
        <v>549776.808</v>
      </c>
      <c r="U53" s="48">
        <f>U52*Assumptions!$D$23</f>
        <v>549776.808</v>
      </c>
      <c r="V53" s="48">
        <f>V52*Assumptions!$D$23</f>
        <v>549776.808</v>
      </c>
      <c r="W53" s="48">
        <f>W52*Assumptions!$D$23</f>
        <v>549776.808</v>
      </c>
      <c r="X53" s="48">
        <f>X52*Assumptions!$D$23</f>
        <v>549776.808</v>
      </c>
      <c r="Y53" s="48">
        <f>Y52*Assumptions!$D$23</f>
        <v>549776.808</v>
      </c>
      <c r="Z53" s="73">
        <f t="shared" si="0"/>
        <v>8182511.4924</v>
      </c>
    </row>
    <row r="54" ht="15" customHeight="1">
      <c r="A54" s="72" t="s">
        <v>326</v>
      </c>
      <c r="B54" s="48">
        <f t="shared" si="3"/>
        <v>5652.423</v>
      </c>
      <c r="C54" s="48">
        <f t="shared" si="3"/>
        <v>5652.423</v>
      </c>
      <c r="D54" s="48">
        <f t="shared" si="3"/>
        <v>5652.423</v>
      </c>
      <c r="E54" s="48">
        <f t="shared" si="3"/>
        <v>9985.9473</v>
      </c>
      <c r="F54" s="48">
        <f t="shared" si="3"/>
        <v>9985.9473</v>
      </c>
      <c r="G54" s="48">
        <f t="shared" si="3"/>
        <v>9985.9473</v>
      </c>
      <c r="H54" s="48">
        <f t="shared" si="3"/>
        <v>16957.269</v>
      </c>
      <c r="I54" s="48">
        <f t="shared" si="3"/>
        <v>16957.269</v>
      </c>
      <c r="J54" s="48">
        <f t="shared" si="3"/>
        <v>16957.269</v>
      </c>
      <c r="K54" s="48">
        <f t="shared" si="3"/>
        <v>16957.269</v>
      </c>
      <c r="L54" s="48">
        <f t="shared" si="3"/>
        <v>16957.269</v>
      </c>
      <c r="M54" s="48">
        <f t="shared" si="3"/>
        <v>16957.269</v>
      </c>
      <c r="N54" s="48">
        <f t="shared" si="3"/>
        <v>25435.9035</v>
      </c>
      <c r="O54" s="48">
        <f t="shared" si="3"/>
        <v>25435.9035</v>
      </c>
      <c r="P54" s="48">
        <f t="shared" si="3"/>
        <v>25435.9035</v>
      </c>
      <c r="Q54" s="48">
        <f t="shared" si="3"/>
        <v>25435.9035</v>
      </c>
      <c r="R54" s="48">
        <f t="shared" si="3"/>
        <v>25435.9035</v>
      </c>
      <c r="S54" s="48">
        <f t="shared" si="3"/>
        <v>25435.9035</v>
      </c>
      <c r="T54" s="48">
        <f t="shared" si="3"/>
        <v>33914.538</v>
      </c>
      <c r="U54" s="48">
        <f t="shared" si="3"/>
        <v>33914.538</v>
      </c>
      <c r="V54" s="48">
        <f t="shared" si="3"/>
        <v>33914.538</v>
      </c>
      <c r="W54" s="48">
        <f t="shared" si="3"/>
        <v>33914.538</v>
      </c>
      <c r="X54" s="48">
        <f t="shared" si="3"/>
        <v>33914.538</v>
      </c>
      <c r="Y54" s="48">
        <f t="shared" si="3"/>
        <v>33914.538</v>
      </c>
      <c r="Z54" s="73">
        <f t="shared" si="0"/>
        <v>504761.3739</v>
      </c>
    </row>
    <row r="55" ht="15" customHeight="1">
      <c r="A55" s="72" t="s">
        <v>344</v>
      </c>
      <c r="B55" s="48">
        <f>B54*Assumptions!$E$23</f>
        <v>830906.181</v>
      </c>
      <c r="C55" s="48">
        <f>C54*Assumptions!$E$23</f>
        <v>830906.181</v>
      </c>
      <c r="D55" s="48">
        <f>D54*Assumptions!$E$23</f>
        <v>830906.181</v>
      </c>
      <c r="E55" s="48">
        <f>E54*Assumptions!$E$23</f>
        <v>1467934.2531</v>
      </c>
      <c r="F55" s="48">
        <f>F54*Assumptions!$E$23</f>
        <v>1467934.2531</v>
      </c>
      <c r="G55" s="48">
        <f>G54*Assumptions!$E$23</f>
        <v>1467934.2531</v>
      </c>
      <c r="H55" s="48">
        <f>H54*Assumptions!$E$23</f>
        <v>2492718.543</v>
      </c>
      <c r="I55" s="48">
        <f>I54*Assumptions!$E$23</f>
        <v>2492718.543</v>
      </c>
      <c r="J55" s="48">
        <f>J54*Assumptions!$E$23</f>
        <v>2492718.543</v>
      </c>
      <c r="K55" s="48">
        <f>K54*Assumptions!$E$23</f>
        <v>2492718.543</v>
      </c>
      <c r="L55" s="48">
        <f>L54*Assumptions!$E$23</f>
        <v>2492718.543</v>
      </c>
      <c r="M55" s="48">
        <f>M54*Assumptions!$E$23</f>
        <v>2492718.543</v>
      </c>
      <c r="N55" s="48">
        <f>N54*Assumptions!$E$23</f>
        <v>3739077.8145</v>
      </c>
      <c r="O55" s="48">
        <f>O54*Assumptions!$E$23</f>
        <v>3739077.8145</v>
      </c>
      <c r="P55" s="48">
        <f>P54*Assumptions!$E$23</f>
        <v>3739077.8145</v>
      </c>
      <c r="Q55" s="48">
        <f>Q54*Assumptions!$E$23</f>
        <v>3739077.8145</v>
      </c>
      <c r="R55" s="48">
        <f>R54*Assumptions!$E$23</f>
        <v>3739077.8145</v>
      </c>
      <c r="S55" s="48">
        <f>S54*Assumptions!$E$23</f>
        <v>3739077.8145</v>
      </c>
      <c r="T55" s="48">
        <f>T54*Assumptions!$E$23</f>
        <v>4985437.086</v>
      </c>
      <c r="U55" s="48">
        <f>U54*Assumptions!$E$23</f>
        <v>4985437.086</v>
      </c>
      <c r="V55" s="48">
        <f>V54*Assumptions!$E$23</f>
        <v>4985437.086</v>
      </c>
      <c r="W55" s="48">
        <f>W54*Assumptions!$E$23</f>
        <v>4985437.086</v>
      </c>
      <c r="X55" s="48">
        <f>X54*Assumptions!$E$23</f>
        <v>4985437.086</v>
      </c>
      <c r="Y55" s="48">
        <f>Y54*Assumptions!$E$23</f>
        <v>4985437.086</v>
      </c>
      <c r="Z55" s="73">
        <f t="shared" si="0"/>
        <v>74199921.9633</v>
      </c>
    </row>
    <row r="56" ht="15" customHeight="1"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73"/>
    </row>
    <row r="57" ht="15" customHeight="1">
      <c r="A57" s="82" t="s">
        <v>357</v>
      </c>
      <c r="B57" s="48">
        <f>IF('Accounts &amp; Traffic'!B14=0,0,'Accounts &amp; Traffic'!B36*('Accounts &amp; Traffic'!B11/'Accounts &amp; Traffic'!B14))</f>
        <v>113.4</v>
      </c>
      <c r="C57" s="48">
        <f>IF('Accounts &amp; Traffic'!C14=0,0,'Accounts &amp; Traffic'!C36*('Accounts &amp; Traffic'!C11/'Accounts &amp; Traffic'!C14))</f>
        <v>113.4</v>
      </c>
      <c r="D57" s="48">
        <f>IF('Accounts &amp; Traffic'!D14=0,0,'Accounts &amp; Traffic'!D36*('Accounts &amp; Traffic'!D11/'Accounts &amp; Traffic'!D14))</f>
        <v>113.4</v>
      </c>
      <c r="E57" s="48">
        <f>IF('Accounts &amp; Traffic'!E14=0,0,'Accounts &amp; Traffic'!E36*('Accounts &amp; Traffic'!E11/'Accounts &amp; Traffic'!E14))</f>
        <v>198.45</v>
      </c>
      <c r="F57" s="48">
        <f>IF('Accounts &amp; Traffic'!F14=0,0,'Accounts &amp; Traffic'!F36*('Accounts &amp; Traffic'!F11/'Accounts &amp; Traffic'!F14))</f>
        <v>198.45</v>
      </c>
      <c r="G57" s="48">
        <f>IF('Accounts &amp; Traffic'!G14=0,0,'Accounts &amp; Traffic'!G36*('Accounts &amp; Traffic'!G11/'Accounts &amp; Traffic'!G14))</f>
        <v>198.45</v>
      </c>
      <c r="H57" s="48">
        <f>IF('Accounts &amp; Traffic'!H14=0,0,'Accounts &amp; Traffic'!H36*('Accounts &amp; Traffic'!H11/'Accounts &amp; Traffic'!H14))</f>
        <v>340.2</v>
      </c>
      <c r="I57" s="48">
        <f>IF('Accounts &amp; Traffic'!I14=0,0,'Accounts &amp; Traffic'!I36*('Accounts &amp; Traffic'!I11/'Accounts &amp; Traffic'!I14))</f>
        <v>340.2</v>
      </c>
      <c r="J57" s="48">
        <f>IF('Accounts &amp; Traffic'!J14=0,0,'Accounts &amp; Traffic'!J36*('Accounts &amp; Traffic'!J11/'Accounts &amp; Traffic'!J14))</f>
        <v>340.2</v>
      </c>
      <c r="K57" s="48">
        <f>IF('Accounts &amp; Traffic'!K14=0,0,'Accounts &amp; Traffic'!K36*('Accounts &amp; Traffic'!K11/'Accounts &amp; Traffic'!K14))</f>
        <v>340.2</v>
      </c>
      <c r="L57" s="48">
        <f>IF('Accounts &amp; Traffic'!L14=0,0,'Accounts &amp; Traffic'!L36*('Accounts &amp; Traffic'!L11/'Accounts &amp; Traffic'!L14))</f>
        <v>340.2</v>
      </c>
      <c r="M57" s="48">
        <f>IF('Accounts &amp; Traffic'!M14=0,0,'Accounts &amp; Traffic'!M36*('Accounts &amp; Traffic'!M11/'Accounts &amp; Traffic'!M14))</f>
        <v>340.2</v>
      </c>
      <c r="N57" s="48">
        <f>IF('Accounts &amp; Traffic'!N14=0,0,'Accounts &amp; Traffic'!N36*('Accounts &amp; Traffic'!N11/'Accounts &amp; Traffic'!N14))</f>
        <v>510.3</v>
      </c>
      <c r="O57" s="48">
        <f>IF('Accounts &amp; Traffic'!O14=0,0,'Accounts &amp; Traffic'!O36*('Accounts &amp; Traffic'!O11/'Accounts &amp; Traffic'!O14))</f>
        <v>510.3</v>
      </c>
      <c r="P57" s="48">
        <f>IF('Accounts &amp; Traffic'!P14=0,0,'Accounts &amp; Traffic'!P36*('Accounts &amp; Traffic'!P11/'Accounts &amp; Traffic'!P14))</f>
        <v>510.3</v>
      </c>
      <c r="Q57" s="48">
        <f>IF('Accounts &amp; Traffic'!Q14=0,0,'Accounts &amp; Traffic'!Q36*('Accounts &amp; Traffic'!Q11/'Accounts &amp; Traffic'!Q14))</f>
        <v>510.3</v>
      </c>
      <c r="R57" s="48">
        <f>IF('Accounts &amp; Traffic'!R14=0,0,'Accounts &amp; Traffic'!R36*('Accounts &amp; Traffic'!R11/'Accounts &amp; Traffic'!R14))</f>
        <v>510.3</v>
      </c>
      <c r="S57" s="48">
        <f>IF('Accounts &amp; Traffic'!S14=0,0,'Accounts &amp; Traffic'!S36*('Accounts &amp; Traffic'!S11/'Accounts &amp; Traffic'!S14))</f>
        <v>510.3</v>
      </c>
      <c r="T57" s="48">
        <f>IF('Accounts &amp; Traffic'!T14=0,0,'Accounts &amp; Traffic'!T36*('Accounts &amp; Traffic'!T11/'Accounts &amp; Traffic'!T14))</f>
        <v>680.4</v>
      </c>
      <c r="U57" s="48">
        <f>IF('Accounts &amp; Traffic'!U14=0,0,'Accounts &amp; Traffic'!U36*('Accounts &amp; Traffic'!U11/'Accounts &amp; Traffic'!U14))</f>
        <v>680.4</v>
      </c>
      <c r="V57" s="48">
        <f>IF('Accounts &amp; Traffic'!V14=0,0,'Accounts &amp; Traffic'!V36*('Accounts &amp; Traffic'!V11/'Accounts &amp; Traffic'!V14))</f>
        <v>680.4</v>
      </c>
      <c r="W57" s="48">
        <f>IF('Accounts &amp; Traffic'!W14=0,0,'Accounts &amp; Traffic'!W36*('Accounts &amp; Traffic'!W11/'Accounts &amp; Traffic'!W14))</f>
        <v>680.4</v>
      </c>
      <c r="X57" s="48">
        <f>IF('Accounts &amp; Traffic'!X14=0,0,'Accounts &amp; Traffic'!X36*('Accounts &amp; Traffic'!X11/'Accounts &amp; Traffic'!X14))</f>
        <v>680.4</v>
      </c>
      <c r="Y57" s="48">
        <f>IF('Accounts &amp; Traffic'!Y14=0,0,'Accounts &amp; Traffic'!Y36*('Accounts &amp; Traffic'!Y11/'Accounts &amp; Traffic'!Y14))</f>
        <v>680.4</v>
      </c>
      <c r="Z57" s="73">
        <f t="shared" si="0"/>
        <v>10120.95</v>
      </c>
    </row>
    <row r="58" ht="15" customHeight="1">
      <c r="A58" s="82" t="s">
        <v>358</v>
      </c>
      <c r="B58" s="48">
        <f>B57*Assumptions!$B$24</f>
        <v>1132.866</v>
      </c>
      <c r="C58" s="48">
        <f>C57*Assumptions!$B$24</f>
        <v>1132.866</v>
      </c>
      <c r="D58" s="48">
        <f>D57*Assumptions!$B$24</f>
        <v>1132.866</v>
      </c>
      <c r="E58" s="48">
        <f>E57*Assumptions!$B$24</f>
        <v>1982.5155</v>
      </c>
      <c r="F58" s="48">
        <f>F57*Assumptions!$B$24</f>
        <v>1982.5155</v>
      </c>
      <c r="G58" s="48">
        <f>G57*Assumptions!$B$24</f>
        <v>1982.5155</v>
      </c>
      <c r="H58" s="48">
        <f>H57*Assumptions!$B$24</f>
        <v>3398.598</v>
      </c>
      <c r="I58" s="48">
        <f>I57*Assumptions!$B$24</f>
        <v>3398.598</v>
      </c>
      <c r="J58" s="48">
        <f>J57*Assumptions!$B$24</f>
        <v>3398.598</v>
      </c>
      <c r="K58" s="48">
        <f>K57*Assumptions!$B$24</f>
        <v>3398.598</v>
      </c>
      <c r="L58" s="48">
        <f>L57*Assumptions!$B$24</f>
        <v>3398.598</v>
      </c>
      <c r="M58" s="48">
        <f>M57*Assumptions!$B$24</f>
        <v>3398.598</v>
      </c>
      <c r="N58" s="48">
        <f>N57*Assumptions!$B$24</f>
        <v>5097.897</v>
      </c>
      <c r="O58" s="48">
        <f>O57*Assumptions!$B$24</f>
        <v>5097.897</v>
      </c>
      <c r="P58" s="48">
        <f>P57*Assumptions!$B$24</f>
        <v>5097.897</v>
      </c>
      <c r="Q58" s="48">
        <f>Q57*Assumptions!$B$24</f>
        <v>5097.897</v>
      </c>
      <c r="R58" s="48">
        <f>R57*Assumptions!$B$24</f>
        <v>5097.897</v>
      </c>
      <c r="S58" s="48">
        <f>S57*Assumptions!$B$24</f>
        <v>5097.897</v>
      </c>
      <c r="T58" s="48">
        <f>T57*Assumptions!$B$24</f>
        <v>6797.196</v>
      </c>
      <c r="U58" s="48">
        <f>U57*Assumptions!$B$24</f>
        <v>6797.196</v>
      </c>
      <c r="V58" s="48">
        <f>V57*Assumptions!$B$24</f>
        <v>6797.196</v>
      </c>
      <c r="W58" s="48">
        <f>W57*Assumptions!$B$24</f>
        <v>6797.196</v>
      </c>
      <c r="X58" s="48">
        <f>X57*Assumptions!$B$24</f>
        <v>6797.196</v>
      </c>
      <c r="Y58" s="48">
        <f>Y57*Assumptions!$B$24</f>
        <v>6797.196</v>
      </c>
      <c r="Z58" s="73">
        <f t="shared" si="0"/>
        <v>101108.2905</v>
      </c>
    </row>
    <row r="59" ht="15" customHeight="1">
      <c r="B59" s="48">
        <f t="shared" si="1"/>
        <v>34.02</v>
      </c>
      <c r="C59" s="48">
        <f t="shared" si="1"/>
        <v>34.02</v>
      </c>
      <c r="D59" s="48">
        <f t="shared" si="1"/>
        <v>34.02</v>
      </c>
      <c r="E59" s="48">
        <f t="shared" si="1"/>
        <v>59.535</v>
      </c>
      <c r="F59" s="48">
        <f t="shared" si="1"/>
        <v>59.535</v>
      </c>
      <c r="G59" s="48">
        <f t="shared" si="1"/>
        <v>59.535</v>
      </c>
      <c r="H59" s="48">
        <f t="shared" si="1"/>
        <v>102.06</v>
      </c>
      <c r="I59" s="48">
        <f t="shared" si="1"/>
        <v>102.06</v>
      </c>
      <c r="J59" s="48">
        <f t="shared" si="1"/>
        <v>102.06</v>
      </c>
      <c r="K59" s="48">
        <f t="shared" si="1"/>
        <v>102.06</v>
      </c>
      <c r="L59" s="48">
        <f t="shared" si="1"/>
        <v>102.06</v>
      </c>
      <c r="M59" s="48">
        <f t="shared" si="1"/>
        <v>102.06</v>
      </c>
      <c r="N59" s="48">
        <f t="shared" si="1"/>
        <v>153.09</v>
      </c>
      <c r="O59" s="48">
        <f t="shared" si="1"/>
        <v>153.09</v>
      </c>
      <c r="P59" s="48">
        <f t="shared" si="1"/>
        <v>153.09</v>
      </c>
      <c r="Q59" s="48">
        <f t="shared" si="1"/>
        <v>153.09</v>
      </c>
      <c r="R59" s="48">
        <f t="shared" si="1"/>
        <v>153.09</v>
      </c>
      <c r="S59" s="48">
        <f t="shared" si="1"/>
        <v>153.09</v>
      </c>
      <c r="T59" s="48">
        <f t="shared" si="1"/>
        <v>204.12</v>
      </c>
      <c r="U59" s="48">
        <f t="shared" si="1"/>
        <v>204.12</v>
      </c>
      <c r="V59" s="48">
        <f t="shared" si="1"/>
        <v>204.12</v>
      </c>
      <c r="W59" s="48">
        <f t="shared" si="1"/>
        <v>204.12</v>
      </c>
      <c r="X59" s="48">
        <f t="shared" si="1"/>
        <v>204.12</v>
      </c>
      <c r="Y59" s="48">
        <f t="shared" si="1"/>
        <v>204.12</v>
      </c>
      <c r="Z59" s="48">
        <f t="shared" si="0"/>
        <v>3036.285</v>
      </c>
    </row>
    <row r="60" ht="15.75" customHeight="1">
      <c r="A60" s="83" t="s">
        <v>359</v>
      </c>
      <c r="B60" s="48">
        <f>B59*Assumptions!$C$24</f>
        <v>748.44</v>
      </c>
      <c r="C60" s="48">
        <f>C59*Assumptions!$C$24</f>
        <v>748.44</v>
      </c>
      <c r="D60" s="48">
        <f>D59*Assumptions!$C$24</f>
        <v>748.44</v>
      </c>
      <c r="E60" s="48">
        <f>E59*Assumptions!$C$24</f>
        <v>1309.77</v>
      </c>
      <c r="F60" s="48">
        <f>F59*Assumptions!$C$24</f>
        <v>1309.77</v>
      </c>
      <c r="G60" s="48">
        <f>G59*Assumptions!$C$24</f>
        <v>1309.77</v>
      </c>
      <c r="H60" s="48">
        <f>H59*Assumptions!$C$24</f>
        <v>2245.32</v>
      </c>
      <c r="I60" s="48">
        <f>I59*Assumptions!$C$24</f>
        <v>2245.32</v>
      </c>
      <c r="J60" s="48">
        <f>J59*Assumptions!$C$24</f>
        <v>2245.32</v>
      </c>
      <c r="K60" s="48">
        <f>K59*Assumptions!$C$24</f>
        <v>2245.32</v>
      </c>
      <c r="L60" s="48">
        <f>L59*Assumptions!$C$24</f>
        <v>2245.32</v>
      </c>
      <c r="M60" s="48">
        <f>M59*Assumptions!$C$24</f>
        <v>2245.32</v>
      </c>
      <c r="N60" s="48">
        <f>N59*Assumptions!$C$24</f>
        <v>3367.98</v>
      </c>
      <c r="O60" s="48">
        <f>O59*Assumptions!$C$24</f>
        <v>3367.98</v>
      </c>
      <c r="P60" s="48">
        <f>P59*Assumptions!$C$24</f>
        <v>3367.98</v>
      </c>
      <c r="Q60" s="48">
        <f>Q59*Assumptions!$C$24</f>
        <v>3367.98</v>
      </c>
      <c r="R60" s="48">
        <f>R59*Assumptions!$C$24</f>
        <v>3367.98</v>
      </c>
      <c r="S60" s="48">
        <f>S59*Assumptions!$C$24</f>
        <v>3367.98</v>
      </c>
      <c r="T60" s="48">
        <f>T59*Assumptions!$C$24</f>
        <v>4490.64</v>
      </c>
      <c r="U60" s="48">
        <f>U59*Assumptions!$C$24</f>
        <v>4490.64</v>
      </c>
      <c r="V60" s="48">
        <f>V59*Assumptions!$C$24</f>
        <v>4490.64</v>
      </c>
      <c r="W60" s="48">
        <f>W59*Assumptions!$C$24</f>
        <v>4490.64</v>
      </c>
      <c r="X60" s="48">
        <f>X59*Assumptions!$C$24</f>
        <v>4490.64</v>
      </c>
      <c r="Y60" s="48">
        <f>Y59*Assumptions!$C$24</f>
        <v>4490.64</v>
      </c>
      <c r="Z60" s="48">
        <f t="shared" si="0"/>
        <v>66798.27</v>
      </c>
    </row>
    <row r="61" ht="15" customHeight="1">
      <c r="A61" s="72" t="s">
        <v>320</v>
      </c>
      <c r="B61" s="48">
        <f t="shared" si="2"/>
        <v>13.608</v>
      </c>
      <c r="C61" s="48">
        <f t="shared" si="2"/>
        <v>13.608</v>
      </c>
      <c r="D61" s="48">
        <f t="shared" si="2"/>
        <v>13.608</v>
      </c>
      <c r="E61" s="48">
        <f t="shared" si="2"/>
        <v>23.814</v>
      </c>
      <c r="F61" s="48">
        <f t="shared" si="2"/>
        <v>23.814</v>
      </c>
      <c r="G61" s="48">
        <f t="shared" si="2"/>
        <v>23.814</v>
      </c>
      <c r="H61" s="48">
        <f t="shared" si="2"/>
        <v>40.824</v>
      </c>
      <c r="I61" s="48">
        <f t="shared" si="2"/>
        <v>40.824</v>
      </c>
      <c r="J61" s="48">
        <f t="shared" si="2"/>
        <v>40.824</v>
      </c>
      <c r="K61" s="48">
        <f t="shared" si="2"/>
        <v>40.824</v>
      </c>
      <c r="L61" s="48">
        <f t="shared" si="2"/>
        <v>40.824</v>
      </c>
      <c r="M61" s="48">
        <f t="shared" si="2"/>
        <v>40.824</v>
      </c>
      <c r="N61" s="48">
        <f t="shared" si="2"/>
        <v>61.236</v>
      </c>
      <c r="O61" s="48">
        <f t="shared" si="2"/>
        <v>61.236</v>
      </c>
      <c r="P61" s="48">
        <f t="shared" si="2"/>
        <v>61.236</v>
      </c>
      <c r="Q61" s="48">
        <f t="shared" si="2"/>
        <v>61.236</v>
      </c>
      <c r="R61" s="48">
        <f t="shared" si="2"/>
        <v>61.236</v>
      </c>
      <c r="S61" s="48">
        <f t="shared" si="2"/>
        <v>61.236</v>
      </c>
      <c r="T61" s="48">
        <f t="shared" si="2"/>
        <v>81.648</v>
      </c>
      <c r="U61" s="48">
        <f t="shared" si="2"/>
        <v>81.648</v>
      </c>
      <c r="V61" s="48">
        <f t="shared" si="2"/>
        <v>81.648</v>
      </c>
      <c r="W61" s="48">
        <f t="shared" si="2"/>
        <v>81.648</v>
      </c>
      <c r="X61" s="48">
        <f t="shared" si="2"/>
        <v>81.648</v>
      </c>
      <c r="Y61" s="48">
        <f t="shared" si="2"/>
        <v>81.648</v>
      </c>
      <c r="Z61" s="73">
        <f t="shared" si="0"/>
        <v>1214.514</v>
      </c>
    </row>
    <row r="62" ht="15" customHeight="1">
      <c r="A62" s="72" t="s">
        <v>342</v>
      </c>
      <c r="B62" s="48">
        <f>B61*Assumptions!$D$24</f>
        <v>530.712</v>
      </c>
      <c r="C62" s="48">
        <f>C61*Assumptions!$D$24</f>
        <v>530.712</v>
      </c>
      <c r="D62" s="48">
        <f>D61*Assumptions!$D$24</f>
        <v>530.712</v>
      </c>
      <c r="E62" s="48">
        <f>E61*Assumptions!$D$24</f>
        <v>928.746</v>
      </c>
      <c r="F62" s="48">
        <f>F61*Assumptions!$D$24</f>
        <v>928.746</v>
      </c>
      <c r="G62" s="48">
        <f>G61*Assumptions!$D$24</f>
        <v>928.746</v>
      </c>
      <c r="H62" s="48">
        <f>H61*Assumptions!$D$24</f>
        <v>1592.136</v>
      </c>
      <c r="I62" s="48">
        <f>I61*Assumptions!$D$24</f>
        <v>1592.136</v>
      </c>
      <c r="J62" s="48">
        <f>J61*Assumptions!$D$24</f>
        <v>1592.136</v>
      </c>
      <c r="K62" s="48">
        <f>K61*Assumptions!$D$24</f>
        <v>1592.136</v>
      </c>
      <c r="L62" s="48">
        <f>L61*Assumptions!$D$24</f>
        <v>1592.136</v>
      </c>
      <c r="M62" s="48">
        <f>M61*Assumptions!$D$24</f>
        <v>1592.136</v>
      </c>
      <c r="N62" s="48">
        <f>N61*Assumptions!$D$24</f>
        <v>2388.204</v>
      </c>
      <c r="O62" s="48">
        <f>O61*Assumptions!$D$24</f>
        <v>2388.204</v>
      </c>
      <c r="P62" s="48">
        <f>P61*Assumptions!$D$24</f>
        <v>2388.204</v>
      </c>
      <c r="Q62" s="48">
        <f>Q61*Assumptions!$D$24</f>
        <v>2388.204</v>
      </c>
      <c r="R62" s="48">
        <f>R61*Assumptions!$D$24</f>
        <v>2388.204</v>
      </c>
      <c r="S62" s="48">
        <f>S61*Assumptions!$D$24</f>
        <v>2388.204</v>
      </c>
      <c r="T62" s="48">
        <f>T61*Assumptions!$D$24</f>
        <v>3184.272</v>
      </c>
      <c r="U62" s="48">
        <f>U61*Assumptions!$D$24</f>
        <v>3184.272</v>
      </c>
      <c r="V62" s="48">
        <f>V61*Assumptions!$D$24</f>
        <v>3184.272</v>
      </c>
      <c r="W62" s="48">
        <f>W61*Assumptions!$D$24</f>
        <v>3184.272</v>
      </c>
      <c r="X62" s="48">
        <f>X61*Assumptions!$D$24</f>
        <v>3184.272</v>
      </c>
      <c r="Y62" s="48">
        <f>Y61*Assumptions!$D$24</f>
        <v>3184.272</v>
      </c>
      <c r="Z62" s="73">
        <f t="shared" si="0"/>
        <v>47366.046</v>
      </c>
    </row>
    <row r="63" ht="15" customHeight="1">
      <c r="A63" s="72" t="s">
        <v>323</v>
      </c>
      <c r="B63" s="48">
        <f>B61*Assumptions!$B$31</f>
        <v>4.0824</v>
      </c>
      <c r="C63" s="48">
        <f>C61*Assumptions!$B$31</f>
        <v>4.0824</v>
      </c>
      <c r="D63" s="48">
        <f>D61*Assumptions!$B$31</f>
        <v>4.0824</v>
      </c>
      <c r="E63" s="48">
        <f>E61*Assumptions!$B$31</f>
        <v>7.1442</v>
      </c>
      <c r="F63" s="48">
        <f>F61*Assumptions!$B$31</f>
        <v>7.1442</v>
      </c>
      <c r="G63" s="48">
        <f>G61*Assumptions!$B$31</f>
        <v>7.1442</v>
      </c>
      <c r="H63" s="48">
        <f>H61*Assumptions!$B$31</f>
        <v>12.2472</v>
      </c>
      <c r="I63" s="48">
        <f>I61*Assumptions!$B$31</f>
        <v>12.2472</v>
      </c>
      <c r="J63" s="48">
        <f>J61*Assumptions!$B$31</f>
        <v>12.2472</v>
      </c>
      <c r="K63" s="48">
        <f>K61*Assumptions!$B$31</f>
        <v>12.2472</v>
      </c>
      <c r="L63" s="48">
        <f>L61*Assumptions!$B$31</f>
        <v>12.2472</v>
      </c>
      <c r="M63" s="48">
        <f>M61*Assumptions!$B$31</f>
        <v>12.2472</v>
      </c>
      <c r="N63" s="48">
        <f>N61*Assumptions!$B$31</f>
        <v>18.3708</v>
      </c>
      <c r="O63" s="48">
        <f>O61*Assumptions!$B$31</f>
        <v>18.3708</v>
      </c>
      <c r="P63" s="48">
        <f>P61*Assumptions!$B$31</f>
        <v>18.3708</v>
      </c>
      <c r="Q63" s="48">
        <f>Q61*Assumptions!$B$31</f>
        <v>18.3708</v>
      </c>
      <c r="R63" s="48">
        <f>R61*Assumptions!$B$31</f>
        <v>18.3708</v>
      </c>
      <c r="S63" s="48">
        <f>S61*Assumptions!$B$31</f>
        <v>18.3708</v>
      </c>
      <c r="T63" s="48">
        <f>T61*Assumptions!$B$31</f>
        <v>24.4944</v>
      </c>
      <c r="U63" s="48">
        <f>U61*Assumptions!$B$31</f>
        <v>24.4944</v>
      </c>
      <c r="V63" s="48">
        <f>V61*Assumptions!$B$31</f>
        <v>24.4944</v>
      </c>
      <c r="W63" s="48">
        <f>W61*Assumptions!$B$31</f>
        <v>24.4944</v>
      </c>
      <c r="X63" s="48">
        <f>X61*Assumptions!$B$31</f>
        <v>24.4944</v>
      </c>
      <c r="Y63" s="48">
        <f>Y61*Assumptions!$B$31</f>
        <v>24.4944</v>
      </c>
      <c r="Z63" s="73">
        <f t="shared" si="0"/>
        <v>364.3542</v>
      </c>
    </row>
    <row r="64" ht="15" customHeight="1">
      <c r="A64" s="72" t="s">
        <v>343</v>
      </c>
      <c r="B64" s="48">
        <f t="shared" si="3"/>
        <v>2412.018</v>
      </c>
      <c r="C64" s="48">
        <f t="shared" si="3"/>
        <v>2412.018</v>
      </c>
      <c r="D64" s="48">
        <f t="shared" si="3"/>
        <v>2412.018</v>
      </c>
      <c r="E64" s="48">
        <f t="shared" si="3"/>
        <v>4221.0315</v>
      </c>
      <c r="F64" s="48">
        <f t="shared" si="3"/>
        <v>4221.0315</v>
      </c>
      <c r="G64" s="48">
        <f t="shared" si="3"/>
        <v>4221.0315</v>
      </c>
      <c r="H64" s="48">
        <f t="shared" si="3"/>
        <v>7236.054</v>
      </c>
      <c r="I64" s="48">
        <f t="shared" si="3"/>
        <v>7236.054</v>
      </c>
      <c r="J64" s="48">
        <f t="shared" si="3"/>
        <v>7236.054</v>
      </c>
      <c r="K64" s="48">
        <f t="shared" si="3"/>
        <v>7236.054</v>
      </c>
      <c r="L64" s="48">
        <f t="shared" si="3"/>
        <v>7236.054</v>
      </c>
      <c r="M64" s="48">
        <f t="shared" si="3"/>
        <v>7236.054</v>
      </c>
      <c r="N64" s="48">
        <f t="shared" si="3"/>
        <v>10854.081</v>
      </c>
      <c r="O64" s="48">
        <f t="shared" si="3"/>
        <v>10854.081</v>
      </c>
      <c r="P64" s="48">
        <f t="shared" si="3"/>
        <v>10854.081</v>
      </c>
      <c r="Q64" s="48">
        <f t="shared" si="3"/>
        <v>10854.081</v>
      </c>
      <c r="R64" s="48">
        <f t="shared" si="3"/>
        <v>10854.081</v>
      </c>
      <c r="S64" s="48">
        <f t="shared" si="3"/>
        <v>10854.081</v>
      </c>
      <c r="T64" s="48">
        <f t="shared" si="3"/>
        <v>14472.108</v>
      </c>
      <c r="U64" s="48">
        <f t="shared" si="3"/>
        <v>14472.108</v>
      </c>
      <c r="V64" s="48">
        <f t="shared" si="3"/>
        <v>14472.108</v>
      </c>
      <c r="W64" s="48">
        <f t="shared" si="3"/>
        <v>14472.108</v>
      </c>
      <c r="X64" s="48">
        <f t="shared" si="3"/>
        <v>14472.108</v>
      </c>
      <c r="Y64" s="48">
        <f t="shared" si="3"/>
        <v>14472.108</v>
      </c>
      <c r="Z64" s="73">
        <f t="shared" si="0"/>
        <v>215272.6065</v>
      </c>
    </row>
    <row r="65" ht="15" customHeight="1">
      <c r="A65" s="72" t="s">
        <v>326</v>
      </c>
      <c r="B65" s="48">
        <f>B61*Assumptions!$B$32</f>
        <v>1.701</v>
      </c>
      <c r="C65" s="48">
        <f>C61*Assumptions!$B$32</f>
        <v>1.701</v>
      </c>
      <c r="D65" s="48">
        <f>D61*Assumptions!$B$32</f>
        <v>1.701</v>
      </c>
      <c r="E65" s="48">
        <f>E61*Assumptions!$B$32</f>
        <v>2.97675</v>
      </c>
      <c r="F65" s="48">
        <f>F61*Assumptions!$B$32</f>
        <v>2.97675</v>
      </c>
      <c r="G65" s="48">
        <f>G61*Assumptions!$B$32</f>
        <v>2.97675</v>
      </c>
      <c r="H65" s="48">
        <f>H61*Assumptions!$B$32</f>
        <v>5.103</v>
      </c>
      <c r="I65" s="48">
        <f>I61*Assumptions!$B$32</f>
        <v>5.103</v>
      </c>
      <c r="J65" s="48">
        <f>J61*Assumptions!$B$32</f>
        <v>5.103</v>
      </c>
      <c r="K65" s="48">
        <f>K61*Assumptions!$B$32</f>
        <v>5.103</v>
      </c>
      <c r="L65" s="48">
        <f>L61*Assumptions!$B$32</f>
        <v>5.103</v>
      </c>
      <c r="M65" s="48">
        <f>M61*Assumptions!$B$32</f>
        <v>5.103</v>
      </c>
      <c r="N65" s="48">
        <f>N61*Assumptions!$B$32</f>
        <v>7.6545</v>
      </c>
      <c r="O65" s="48">
        <f>O61*Assumptions!$B$32</f>
        <v>7.6545</v>
      </c>
      <c r="P65" s="48">
        <f>P61*Assumptions!$B$32</f>
        <v>7.6545</v>
      </c>
      <c r="Q65" s="48">
        <f>Q61*Assumptions!$B$32</f>
        <v>7.6545</v>
      </c>
      <c r="R65" s="48">
        <f>R61*Assumptions!$B$32</f>
        <v>7.6545</v>
      </c>
      <c r="S65" s="48">
        <f>S61*Assumptions!$B$32</f>
        <v>7.6545</v>
      </c>
      <c r="T65" s="48">
        <f>T61*Assumptions!$B$32</f>
        <v>10.206</v>
      </c>
      <c r="U65" s="48">
        <f>U61*Assumptions!$B$32</f>
        <v>10.206</v>
      </c>
      <c r="V65" s="48">
        <f>V61*Assumptions!$B$32</f>
        <v>10.206</v>
      </c>
      <c r="W65" s="48">
        <f>W61*Assumptions!$B$32</f>
        <v>10.206</v>
      </c>
      <c r="X65" s="48">
        <f>X61*Assumptions!$B$32</f>
        <v>10.206</v>
      </c>
      <c r="Y65" s="48">
        <f>Y61*Assumptions!$B$32</f>
        <v>10.206</v>
      </c>
      <c r="Z65" s="73">
        <f t="shared" si="0"/>
        <v>151.81425</v>
      </c>
    </row>
    <row r="66" ht="15" customHeight="1">
      <c r="A66" s="72" t="s">
        <v>344</v>
      </c>
      <c r="B66" s="48">
        <f>B65*Assumptions!$E$24</f>
        <v>164.997</v>
      </c>
      <c r="C66" s="48">
        <f>C65*Assumptions!$E$24</f>
        <v>164.997</v>
      </c>
      <c r="D66" s="48">
        <f>D65*Assumptions!$E$24</f>
        <v>164.997</v>
      </c>
      <c r="E66" s="48">
        <f>E65*Assumptions!$E$24</f>
        <v>288.74475</v>
      </c>
      <c r="F66" s="48">
        <f>F65*Assumptions!$E$24</f>
        <v>288.74475</v>
      </c>
      <c r="G66" s="48">
        <f>G65*Assumptions!$E$24</f>
        <v>288.74475</v>
      </c>
      <c r="H66" s="48">
        <f>H65*Assumptions!$E$24</f>
        <v>494.991</v>
      </c>
      <c r="I66" s="48">
        <f>I65*Assumptions!$E$24</f>
        <v>494.991</v>
      </c>
      <c r="J66" s="48">
        <f>J65*Assumptions!$E$24</f>
        <v>494.991</v>
      </c>
      <c r="K66" s="48">
        <f>K65*Assumptions!$E$24</f>
        <v>494.991</v>
      </c>
      <c r="L66" s="48">
        <f>L65*Assumptions!$E$24</f>
        <v>494.991</v>
      </c>
      <c r="M66" s="48">
        <f>M65*Assumptions!$E$24</f>
        <v>494.991</v>
      </c>
      <c r="N66" s="48">
        <f>N65*Assumptions!$E$24</f>
        <v>742.4865</v>
      </c>
      <c r="O66" s="48">
        <f>O65*Assumptions!$E$24</f>
        <v>742.4865</v>
      </c>
      <c r="P66" s="48">
        <f>P65*Assumptions!$E$24</f>
        <v>742.4865</v>
      </c>
      <c r="Q66" s="48">
        <f>Q65*Assumptions!$E$24</f>
        <v>742.4865</v>
      </c>
      <c r="R66" s="48">
        <f>R65*Assumptions!$E$24</f>
        <v>742.4865</v>
      </c>
      <c r="S66" s="48">
        <f>S65*Assumptions!$E$24</f>
        <v>742.4865</v>
      </c>
      <c r="T66" s="48">
        <f>T65*Assumptions!$E$24</f>
        <v>989.982</v>
      </c>
      <c r="U66" s="48">
        <f>U65*Assumptions!$E$24</f>
        <v>989.982</v>
      </c>
      <c r="V66" s="48">
        <f>V65*Assumptions!$E$24</f>
        <v>989.982</v>
      </c>
      <c r="W66" s="48">
        <f>W65*Assumptions!$E$24</f>
        <v>989.982</v>
      </c>
      <c r="X66" s="48">
        <f>X65*Assumptions!$E$24</f>
        <v>989.982</v>
      </c>
      <c r="Y66" s="48">
        <f>Y65*Assumptions!$E$24</f>
        <v>989.982</v>
      </c>
      <c r="Z66" s="73">
        <f t="shared" si="0"/>
        <v>14725.98225</v>
      </c>
    </row>
    <row r="67" ht="15" customHeight="1">
      <c r="B67" s="48">
        <f>IF('Accounts &amp; Traffic'!B14=0,0,'Accounts &amp; Traffic'!B36*('Accounts &amp; Traffic'!B12/'Accounts &amp; Traffic'!B14))</f>
        <v>113.4</v>
      </c>
      <c r="C67" s="48">
        <f>IF('Accounts &amp; Traffic'!C14=0,0,'Accounts &amp; Traffic'!C36*('Accounts &amp; Traffic'!C12/'Accounts &amp; Traffic'!C14))</f>
        <v>113.4</v>
      </c>
      <c r="D67" s="48">
        <f>IF('Accounts &amp; Traffic'!D14=0,0,'Accounts &amp; Traffic'!D36*('Accounts &amp; Traffic'!D12/'Accounts &amp; Traffic'!D14))</f>
        <v>113.4</v>
      </c>
      <c r="E67" s="48">
        <f>IF('Accounts &amp; Traffic'!E14=0,0,'Accounts &amp; Traffic'!E36*('Accounts &amp; Traffic'!E12/'Accounts &amp; Traffic'!E14))</f>
        <v>198.45</v>
      </c>
      <c r="F67" s="48">
        <f>IF('Accounts &amp; Traffic'!F14=0,0,'Accounts &amp; Traffic'!F36*('Accounts &amp; Traffic'!F12/'Accounts &amp; Traffic'!F14))</f>
        <v>198.45</v>
      </c>
      <c r="G67" s="48">
        <f>IF('Accounts &amp; Traffic'!G14=0,0,'Accounts &amp; Traffic'!G36*('Accounts &amp; Traffic'!G12/'Accounts &amp; Traffic'!G14))</f>
        <v>198.45</v>
      </c>
      <c r="H67" s="48">
        <f>IF('Accounts &amp; Traffic'!H14=0,0,'Accounts &amp; Traffic'!H36*('Accounts &amp; Traffic'!H12/'Accounts &amp; Traffic'!H14))</f>
        <v>340.2</v>
      </c>
      <c r="I67" s="48">
        <f>IF('Accounts &amp; Traffic'!I14=0,0,'Accounts &amp; Traffic'!I36*('Accounts &amp; Traffic'!I12/'Accounts &amp; Traffic'!I14))</f>
        <v>340.2</v>
      </c>
      <c r="J67" s="48">
        <f>IF('Accounts &amp; Traffic'!J14=0,0,'Accounts &amp; Traffic'!J36*('Accounts &amp; Traffic'!J12/'Accounts &amp; Traffic'!J14))</f>
        <v>340.2</v>
      </c>
      <c r="K67" s="48">
        <f>IF('Accounts &amp; Traffic'!K14=0,0,'Accounts &amp; Traffic'!K36*('Accounts &amp; Traffic'!K12/'Accounts &amp; Traffic'!K14))</f>
        <v>340.2</v>
      </c>
      <c r="L67" s="48">
        <f>IF('Accounts &amp; Traffic'!L14=0,0,'Accounts &amp; Traffic'!L36*('Accounts &amp; Traffic'!L12/'Accounts &amp; Traffic'!L14))</f>
        <v>340.2</v>
      </c>
      <c r="M67" s="48">
        <f>IF('Accounts &amp; Traffic'!M14=0,0,'Accounts &amp; Traffic'!M36*('Accounts &amp; Traffic'!M12/'Accounts &amp; Traffic'!M14))</f>
        <v>340.2</v>
      </c>
      <c r="N67" s="48">
        <f>IF('Accounts &amp; Traffic'!N14=0,0,'Accounts &amp; Traffic'!N36*('Accounts &amp; Traffic'!N12/'Accounts &amp; Traffic'!N14))</f>
        <v>510.3</v>
      </c>
      <c r="O67" s="48">
        <f>IF('Accounts &amp; Traffic'!O14=0,0,'Accounts &amp; Traffic'!O36*('Accounts &amp; Traffic'!O12/'Accounts &amp; Traffic'!O14))</f>
        <v>510.3</v>
      </c>
      <c r="P67" s="48">
        <f>IF('Accounts &amp; Traffic'!P14=0,0,'Accounts &amp; Traffic'!P36*('Accounts &amp; Traffic'!P12/'Accounts &amp; Traffic'!P14))</f>
        <v>510.3</v>
      </c>
      <c r="Q67" s="48">
        <f>IF('Accounts &amp; Traffic'!Q14=0,0,'Accounts &amp; Traffic'!Q36*('Accounts &amp; Traffic'!Q12/'Accounts &amp; Traffic'!Q14))</f>
        <v>510.3</v>
      </c>
      <c r="R67" s="48">
        <f>IF('Accounts &amp; Traffic'!R14=0,0,'Accounts &amp; Traffic'!R36*('Accounts &amp; Traffic'!R12/'Accounts &amp; Traffic'!R14))</f>
        <v>510.3</v>
      </c>
      <c r="S67" s="48">
        <f>IF('Accounts &amp; Traffic'!S14=0,0,'Accounts &amp; Traffic'!S36*('Accounts &amp; Traffic'!S12/'Accounts &amp; Traffic'!S14))</f>
        <v>510.3</v>
      </c>
      <c r="T67" s="48">
        <f>IF('Accounts &amp; Traffic'!T14=0,0,'Accounts &amp; Traffic'!T36*('Accounts &amp; Traffic'!T12/'Accounts &amp; Traffic'!T14))</f>
        <v>680.4</v>
      </c>
      <c r="U67" s="48">
        <f>IF('Accounts &amp; Traffic'!U14=0,0,'Accounts &amp; Traffic'!U36*('Accounts &amp; Traffic'!U12/'Accounts &amp; Traffic'!U14))</f>
        <v>680.4</v>
      </c>
      <c r="V67" s="48">
        <f>IF('Accounts &amp; Traffic'!V14=0,0,'Accounts &amp; Traffic'!V36*('Accounts &amp; Traffic'!V12/'Accounts &amp; Traffic'!V14))</f>
        <v>680.4</v>
      </c>
      <c r="W67" s="48">
        <f>IF('Accounts &amp; Traffic'!W14=0,0,'Accounts &amp; Traffic'!W36*('Accounts &amp; Traffic'!W12/'Accounts &amp; Traffic'!W14))</f>
        <v>680.4</v>
      </c>
      <c r="X67" s="48">
        <f>IF('Accounts &amp; Traffic'!X14=0,0,'Accounts &amp; Traffic'!X36*('Accounts &amp; Traffic'!X12/'Accounts &amp; Traffic'!X14))</f>
        <v>680.4</v>
      </c>
      <c r="Y67" s="48">
        <f>IF('Accounts &amp; Traffic'!Y14=0,0,'Accounts &amp; Traffic'!Y36*('Accounts &amp; Traffic'!Y12/'Accounts &amp; Traffic'!Y14))</f>
        <v>680.4</v>
      </c>
      <c r="Z67" s="73">
        <f t="shared" si="0"/>
        <v>10120.95</v>
      </c>
    </row>
    <row r="68" ht="15" customHeight="1">
      <c r="A68" s="84" t="s">
        <v>360</v>
      </c>
      <c r="B68" s="48">
        <f>B67*Assumptions!$B$25</f>
        <v>2040.066</v>
      </c>
      <c r="C68" s="48">
        <f>C67*Assumptions!$B$25</f>
        <v>2040.066</v>
      </c>
      <c r="D68" s="48">
        <f>D67*Assumptions!$B$25</f>
        <v>2040.066</v>
      </c>
      <c r="E68" s="48">
        <f>E67*Assumptions!$B$25</f>
        <v>3570.1155</v>
      </c>
      <c r="F68" s="48">
        <f>F67*Assumptions!$B$25</f>
        <v>3570.1155</v>
      </c>
      <c r="G68" s="48">
        <f>G67*Assumptions!$B$25</f>
        <v>3570.1155</v>
      </c>
      <c r="H68" s="48">
        <f>H67*Assumptions!$B$25</f>
        <v>6120.198</v>
      </c>
      <c r="I68" s="48">
        <f>I67*Assumptions!$B$25</f>
        <v>6120.198</v>
      </c>
      <c r="J68" s="48">
        <f>J67*Assumptions!$B$25</f>
        <v>6120.198</v>
      </c>
      <c r="K68" s="48">
        <f>K67*Assumptions!$B$25</f>
        <v>6120.198</v>
      </c>
      <c r="L68" s="48">
        <f>L67*Assumptions!$B$25</f>
        <v>6120.198</v>
      </c>
      <c r="M68" s="48">
        <f>M67*Assumptions!$B$25</f>
        <v>6120.198</v>
      </c>
      <c r="N68" s="48">
        <f>N67*Assumptions!$B$25</f>
        <v>9180.297</v>
      </c>
      <c r="O68" s="48">
        <f>O67*Assumptions!$B$25</f>
        <v>9180.297</v>
      </c>
      <c r="P68" s="48">
        <f>P67*Assumptions!$B$25</f>
        <v>9180.297</v>
      </c>
      <c r="Q68" s="48">
        <f>Q67*Assumptions!$B$25</f>
        <v>9180.297</v>
      </c>
      <c r="R68" s="48">
        <f>R67*Assumptions!$B$25</f>
        <v>9180.297</v>
      </c>
      <c r="S68" s="48">
        <f>S67*Assumptions!$B$25</f>
        <v>9180.297</v>
      </c>
      <c r="T68" s="48">
        <f>T67*Assumptions!$B$25</f>
        <v>12240.396</v>
      </c>
      <c r="U68" s="48">
        <f>U67*Assumptions!$B$25</f>
        <v>12240.396</v>
      </c>
      <c r="V68" s="48">
        <f>V67*Assumptions!$B$25</f>
        <v>12240.396</v>
      </c>
      <c r="W68" s="48">
        <f>W67*Assumptions!$B$25</f>
        <v>12240.396</v>
      </c>
      <c r="X68" s="48">
        <f>X67*Assumptions!$B$25</f>
        <v>12240.396</v>
      </c>
      <c r="Y68" s="48">
        <f>Y67*Assumptions!$B$25</f>
        <v>12240.396</v>
      </c>
      <c r="Z68" s="73">
        <f t="shared" si="0"/>
        <v>182075.8905</v>
      </c>
    </row>
    <row r="69" ht="15" customHeight="1">
      <c r="A69" s="84" t="s">
        <v>361</v>
      </c>
      <c r="B69" s="48">
        <f t="shared" si="1"/>
        <v>34.02</v>
      </c>
      <c r="C69" s="48">
        <f t="shared" si="1"/>
        <v>34.02</v>
      </c>
      <c r="D69" s="48">
        <f t="shared" si="1"/>
        <v>34.02</v>
      </c>
      <c r="E69" s="48">
        <f t="shared" si="1"/>
        <v>59.535</v>
      </c>
      <c r="F69" s="48">
        <f t="shared" si="1"/>
        <v>59.535</v>
      </c>
      <c r="G69" s="48">
        <f t="shared" si="1"/>
        <v>59.535</v>
      </c>
      <c r="H69" s="48">
        <f t="shared" si="1"/>
        <v>102.06</v>
      </c>
      <c r="I69" s="48">
        <f t="shared" si="1"/>
        <v>102.06</v>
      </c>
      <c r="J69" s="48">
        <f t="shared" si="1"/>
        <v>102.06</v>
      </c>
      <c r="K69" s="48">
        <f t="shared" si="1"/>
        <v>102.06</v>
      </c>
      <c r="L69" s="48">
        <f t="shared" si="1"/>
        <v>102.06</v>
      </c>
      <c r="M69" s="48">
        <f t="shared" si="1"/>
        <v>102.06</v>
      </c>
      <c r="N69" s="48">
        <f t="shared" si="1"/>
        <v>153.09</v>
      </c>
      <c r="O69" s="48">
        <f t="shared" si="1"/>
        <v>153.09</v>
      </c>
      <c r="P69" s="48">
        <f t="shared" si="1"/>
        <v>153.09</v>
      </c>
      <c r="Q69" s="48">
        <f t="shared" si="1"/>
        <v>153.09</v>
      </c>
      <c r="R69" s="48">
        <f t="shared" si="1"/>
        <v>153.09</v>
      </c>
      <c r="S69" s="48">
        <f t="shared" si="1"/>
        <v>153.09</v>
      </c>
      <c r="T69" s="48">
        <f t="shared" si="1"/>
        <v>204.12</v>
      </c>
      <c r="U69" s="48">
        <f t="shared" si="1"/>
        <v>204.12</v>
      </c>
      <c r="V69" s="48">
        <f t="shared" si="1"/>
        <v>204.12</v>
      </c>
      <c r="W69" s="48">
        <f t="shared" si="1"/>
        <v>204.12</v>
      </c>
      <c r="X69" s="48">
        <f t="shared" si="1"/>
        <v>204.12</v>
      </c>
      <c r="Y69" s="48">
        <f t="shared" si="1"/>
        <v>204.12</v>
      </c>
      <c r="Z69" s="73">
        <f t="shared" si="0"/>
        <v>3036.285</v>
      </c>
    </row>
    <row r="70" ht="15" customHeight="1">
      <c r="B70" s="48">
        <f>B69*Assumptions!$C$25</f>
        <v>1258.74</v>
      </c>
      <c r="C70" s="48">
        <f>C69*Assumptions!$C$25</f>
        <v>1258.74</v>
      </c>
      <c r="D70" s="48">
        <f>D69*Assumptions!$C$25</f>
        <v>1258.74</v>
      </c>
      <c r="E70" s="48">
        <f>E69*Assumptions!$C$25</f>
        <v>2202.795</v>
      </c>
      <c r="F70" s="48">
        <f>F69*Assumptions!$C$25</f>
        <v>2202.795</v>
      </c>
      <c r="G70" s="48">
        <f>G69*Assumptions!$C$25</f>
        <v>2202.795</v>
      </c>
      <c r="H70" s="48">
        <f>H69*Assumptions!$C$25</f>
        <v>3776.22</v>
      </c>
      <c r="I70" s="48">
        <f>I69*Assumptions!$C$25</f>
        <v>3776.22</v>
      </c>
      <c r="J70" s="48">
        <f>J69*Assumptions!$C$25</f>
        <v>3776.22</v>
      </c>
      <c r="K70" s="48">
        <f>K69*Assumptions!$C$25</f>
        <v>3776.22</v>
      </c>
      <c r="L70" s="48">
        <f>L69*Assumptions!$C$25</f>
        <v>3776.22</v>
      </c>
      <c r="M70" s="48">
        <f>M69*Assumptions!$C$25</f>
        <v>3776.22</v>
      </c>
      <c r="N70" s="48">
        <f>N69*Assumptions!$C$25</f>
        <v>5664.33</v>
      </c>
      <c r="O70" s="48">
        <f>O69*Assumptions!$C$25</f>
        <v>5664.33</v>
      </c>
      <c r="P70" s="48">
        <f>P69*Assumptions!$C$25</f>
        <v>5664.33</v>
      </c>
      <c r="Q70" s="48">
        <f>Q69*Assumptions!$C$25</f>
        <v>5664.33</v>
      </c>
      <c r="R70" s="48">
        <f>R69*Assumptions!$C$25</f>
        <v>5664.33</v>
      </c>
      <c r="S70" s="48">
        <f>S69*Assumptions!$C$25</f>
        <v>5664.33</v>
      </c>
      <c r="T70" s="48">
        <f>T69*Assumptions!$C$25</f>
        <v>7552.44</v>
      </c>
      <c r="U70" s="48">
        <f>U69*Assumptions!$C$25</f>
        <v>7552.44</v>
      </c>
      <c r="V70" s="48">
        <f>V69*Assumptions!$C$25</f>
        <v>7552.44</v>
      </c>
      <c r="W70" s="48">
        <f>W69*Assumptions!$C$25</f>
        <v>7552.44</v>
      </c>
      <c r="X70" s="48">
        <f>X69*Assumptions!$C$25</f>
        <v>7552.44</v>
      </c>
      <c r="Y70" s="48">
        <f>Y69*Assumptions!$C$25</f>
        <v>7552.44</v>
      </c>
      <c r="Z70" s="48">
        <f t="shared" si="0"/>
        <v>112342.545</v>
      </c>
    </row>
    <row r="71" ht="15.75" customHeight="1">
      <c r="A71" s="85" t="s">
        <v>362</v>
      </c>
      <c r="B71" s="48">
        <f t="shared" si="2"/>
        <v>13.608</v>
      </c>
      <c r="C71" s="48">
        <f t="shared" si="2"/>
        <v>13.608</v>
      </c>
      <c r="D71" s="48">
        <f t="shared" si="2"/>
        <v>13.608</v>
      </c>
      <c r="E71" s="48">
        <f t="shared" si="2"/>
        <v>23.814</v>
      </c>
      <c r="F71" s="48">
        <f t="shared" si="2"/>
        <v>23.814</v>
      </c>
      <c r="G71" s="48">
        <f t="shared" si="2"/>
        <v>23.814</v>
      </c>
      <c r="H71" s="48">
        <f t="shared" si="2"/>
        <v>40.824</v>
      </c>
      <c r="I71" s="48">
        <f t="shared" si="2"/>
        <v>40.824</v>
      </c>
      <c r="J71" s="48">
        <f t="shared" si="2"/>
        <v>40.824</v>
      </c>
      <c r="K71" s="48">
        <f t="shared" si="2"/>
        <v>40.824</v>
      </c>
      <c r="L71" s="48">
        <f t="shared" si="2"/>
        <v>40.824</v>
      </c>
      <c r="M71" s="48">
        <f t="shared" si="2"/>
        <v>40.824</v>
      </c>
      <c r="N71" s="48">
        <f t="shared" si="2"/>
        <v>61.236</v>
      </c>
      <c r="O71" s="48">
        <f t="shared" si="2"/>
        <v>61.236</v>
      </c>
      <c r="P71" s="48">
        <f t="shared" si="2"/>
        <v>61.236</v>
      </c>
      <c r="Q71" s="48">
        <f t="shared" si="2"/>
        <v>61.236</v>
      </c>
      <c r="R71" s="48">
        <f t="shared" si="2"/>
        <v>61.236</v>
      </c>
      <c r="S71" s="48">
        <f t="shared" si="2"/>
        <v>61.236</v>
      </c>
      <c r="T71" s="48">
        <f t="shared" si="2"/>
        <v>81.648</v>
      </c>
      <c r="U71" s="48">
        <f t="shared" si="2"/>
        <v>81.648</v>
      </c>
      <c r="V71" s="48">
        <f t="shared" si="2"/>
        <v>81.648</v>
      </c>
      <c r="W71" s="48">
        <f t="shared" si="2"/>
        <v>81.648</v>
      </c>
      <c r="X71" s="48">
        <f t="shared" si="2"/>
        <v>81.648</v>
      </c>
      <c r="Y71" s="48">
        <f t="shared" si="2"/>
        <v>81.648</v>
      </c>
      <c r="Z71" s="48">
        <f t="shared" si="0"/>
        <v>1214.514</v>
      </c>
    </row>
    <row r="72" ht="15" customHeight="1">
      <c r="A72" s="72" t="s">
        <v>320</v>
      </c>
      <c r="B72" s="48">
        <f>B71*Assumptions!$D$25</f>
        <v>1075.032</v>
      </c>
      <c r="C72" s="48">
        <f>C71*Assumptions!$D$25</f>
        <v>1075.032</v>
      </c>
      <c r="D72" s="48">
        <f>D71*Assumptions!$D$25</f>
        <v>1075.032</v>
      </c>
      <c r="E72" s="48">
        <f>E71*Assumptions!$D$25</f>
        <v>1881.306</v>
      </c>
      <c r="F72" s="48">
        <f>F71*Assumptions!$D$25</f>
        <v>1881.306</v>
      </c>
      <c r="G72" s="48">
        <f>G71*Assumptions!$D$25</f>
        <v>1881.306</v>
      </c>
      <c r="H72" s="48">
        <f>H71*Assumptions!$D$25</f>
        <v>3225.096</v>
      </c>
      <c r="I72" s="48">
        <f>I71*Assumptions!$D$25</f>
        <v>3225.096</v>
      </c>
      <c r="J72" s="48">
        <f>J71*Assumptions!$D$25</f>
        <v>3225.096</v>
      </c>
      <c r="K72" s="48">
        <f>K71*Assumptions!$D$25</f>
        <v>3225.096</v>
      </c>
      <c r="L72" s="48">
        <f>L71*Assumptions!$D$25</f>
        <v>3225.096</v>
      </c>
      <c r="M72" s="48">
        <f>M71*Assumptions!$D$25</f>
        <v>3225.096</v>
      </c>
      <c r="N72" s="48">
        <f>N71*Assumptions!$D$25</f>
        <v>4837.644</v>
      </c>
      <c r="O72" s="48">
        <f>O71*Assumptions!$D$25</f>
        <v>4837.644</v>
      </c>
      <c r="P72" s="48">
        <f>P71*Assumptions!$D$25</f>
        <v>4837.644</v>
      </c>
      <c r="Q72" s="48">
        <f>Q71*Assumptions!$D$25</f>
        <v>4837.644</v>
      </c>
      <c r="R72" s="48">
        <f>R71*Assumptions!$D$25</f>
        <v>4837.644</v>
      </c>
      <c r="S72" s="48">
        <f>S71*Assumptions!$D$25</f>
        <v>4837.644</v>
      </c>
      <c r="T72" s="48">
        <f>T71*Assumptions!$D$25</f>
        <v>6450.192</v>
      </c>
      <c r="U72" s="48">
        <f>U71*Assumptions!$D$25</f>
        <v>6450.192</v>
      </c>
      <c r="V72" s="48">
        <f>V71*Assumptions!$D$25</f>
        <v>6450.192</v>
      </c>
      <c r="W72" s="48">
        <f>W71*Assumptions!$D$25</f>
        <v>6450.192</v>
      </c>
      <c r="X72" s="48">
        <f>X71*Assumptions!$D$25</f>
        <v>6450.192</v>
      </c>
      <c r="Y72" s="48">
        <f>Y71*Assumptions!$D$25</f>
        <v>6450.192</v>
      </c>
      <c r="Z72" s="73">
        <f t="shared" si="0"/>
        <v>95946.606</v>
      </c>
    </row>
    <row r="73" ht="15" customHeight="1">
      <c r="A73" s="72" t="s">
        <v>342</v>
      </c>
      <c r="B73" s="48">
        <f>B72*Assumptions!$B$25</f>
        <v>19339.82568</v>
      </c>
      <c r="C73" s="48">
        <f>C72*Assumptions!$B$25</f>
        <v>19339.82568</v>
      </c>
      <c r="D73" s="48">
        <f>D72*Assumptions!$B$25</f>
        <v>19339.82568</v>
      </c>
      <c r="E73" s="48">
        <f>E72*Assumptions!$B$25</f>
        <v>33844.69494</v>
      </c>
      <c r="F73" s="48">
        <f>F72*Assumptions!$B$25</f>
        <v>33844.69494</v>
      </c>
      <c r="G73" s="48">
        <f>G72*Assumptions!$B$25</f>
        <v>33844.69494</v>
      </c>
      <c r="H73" s="48">
        <f>H72*Assumptions!$B$25</f>
        <v>58019.47704</v>
      </c>
      <c r="I73" s="48">
        <f>I72*Assumptions!$B$25</f>
        <v>58019.47704</v>
      </c>
      <c r="J73" s="48">
        <f>J72*Assumptions!$B$25</f>
        <v>58019.47704</v>
      </c>
      <c r="K73" s="48">
        <f>K72*Assumptions!$B$25</f>
        <v>58019.47704</v>
      </c>
      <c r="L73" s="48">
        <f>L72*Assumptions!$B$25</f>
        <v>58019.47704</v>
      </c>
      <c r="M73" s="48">
        <f>M72*Assumptions!$B$25</f>
        <v>58019.47704</v>
      </c>
      <c r="N73" s="48">
        <f>N72*Assumptions!$B$25</f>
        <v>87029.21556</v>
      </c>
      <c r="O73" s="48">
        <f>O72*Assumptions!$B$25</f>
        <v>87029.21556</v>
      </c>
      <c r="P73" s="48">
        <f>P72*Assumptions!$B$25</f>
        <v>87029.21556</v>
      </c>
      <c r="Q73" s="48">
        <f>Q72*Assumptions!$B$25</f>
        <v>87029.21556</v>
      </c>
      <c r="R73" s="48">
        <f>R72*Assumptions!$B$25</f>
        <v>87029.21556</v>
      </c>
      <c r="S73" s="48">
        <f>S72*Assumptions!$B$25</f>
        <v>87029.21556</v>
      </c>
      <c r="T73" s="48">
        <f>T72*Assumptions!$B$25</f>
        <v>116038.95408</v>
      </c>
      <c r="U73" s="48">
        <f>U72*Assumptions!$B$25</f>
        <v>116038.95408</v>
      </c>
      <c r="V73" s="48">
        <f>V72*Assumptions!$B$25</f>
        <v>116038.95408</v>
      </c>
      <c r="W73" s="48">
        <f>W72*Assumptions!$B$25</f>
        <v>116038.95408</v>
      </c>
      <c r="X73" s="48">
        <f>X72*Assumptions!$B$25</f>
        <v>116038.95408</v>
      </c>
      <c r="Y73" s="48">
        <f>Y72*Assumptions!$B$25</f>
        <v>116038.95408</v>
      </c>
      <c r="Z73" s="73">
        <f t="shared" si="0"/>
        <v>1726079.44194</v>
      </c>
    </row>
    <row r="74" ht="15" customHeight="1">
      <c r="A74" s="72" t="s">
        <v>323</v>
      </c>
      <c r="B74" s="48">
        <f t="shared" si="3"/>
        <v>4373.838</v>
      </c>
      <c r="C74" s="48">
        <f t="shared" si="3"/>
        <v>4373.838</v>
      </c>
      <c r="D74" s="48">
        <f t="shared" si="3"/>
        <v>4373.838</v>
      </c>
      <c r="E74" s="48">
        <f t="shared" si="3"/>
        <v>7654.2165</v>
      </c>
      <c r="F74" s="48">
        <f t="shared" si="3"/>
        <v>7654.2165</v>
      </c>
      <c r="G74" s="48">
        <f t="shared" si="3"/>
        <v>7654.2165</v>
      </c>
      <c r="H74" s="48">
        <f t="shared" si="3"/>
        <v>13121.514</v>
      </c>
      <c r="I74" s="48">
        <f t="shared" si="3"/>
        <v>13121.514</v>
      </c>
      <c r="J74" s="48">
        <f t="shared" si="3"/>
        <v>13121.514</v>
      </c>
      <c r="K74" s="48">
        <f t="shared" si="3"/>
        <v>13121.514</v>
      </c>
      <c r="L74" s="48">
        <f t="shared" si="3"/>
        <v>13121.514</v>
      </c>
      <c r="M74" s="48">
        <f t="shared" si="3"/>
        <v>13121.514</v>
      </c>
      <c r="N74" s="48">
        <f t="shared" si="3"/>
        <v>19682.271</v>
      </c>
      <c r="O74" s="48">
        <f t="shared" si="3"/>
        <v>19682.271</v>
      </c>
      <c r="P74" s="48">
        <f t="shared" si="3"/>
        <v>19682.271</v>
      </c>
      <c r="Q74" s="48">
        <f t="shared" si="3"/>
        <v>19682.271</v>
      </c>
      <c r="R74" s="48">
        <f t="shared" si="3"/>
        <v>19682.271</v>
      </c>
      <c r="S74" s="48">
        <f t="shared" si="3"/>
        <v>19682.271</v>
      </c>
      <c r="T74" s="48">
        <f t="shared" si="3"/>
        <v>26243.028</v>
      </c>
      <c r="U74" s="48">
        <f t="shared" si="3"/>
        <v>26243.028</v>
      </c>
      <c r="V74" s="48">
        <f t="shared" si="3"/>
        <v>26243.028</v>
      </c>
      <c r="W74" s="48">
        <f t="shared" si="3"/>
        <v>26243.028</v>
      </c>
      <c r="X74" s="48">
        <f t="shared" si="3"/>
        <v>26243.028</v>
      </c>
      <c r="Y74" s="48">
        <f t="shared" si="3"/>
        <v>26243.028</v>
      </c>
      <c r="Z74" s="73">
        <f t="shared" si="0"/>
        <v>390365.0415</v>
      </c>
    </row>
    <row r="75" ht="15" customHeight="1">
      <c r="A75" s="72" t="s">
        <v>343</v>
      </c>
      <c r="B75" s="48">
        <f>B74*Assumptions!$D$25</f>
        <v>345533.202</v>
      </c>
      <c r="C75" s="48">
        <f>C74*Assumptions!$D$25</f>
        <v>345533.202</v>
      </c>
      <c r="D75" s="48">
        <f>D74*Assumptions!$D$25</f>
        <v>345533.202</v>
      </c>
      <c r="E75" s="48">
        <f>E74*Assumptions!$D$25</f>
        <v>604683.1035</v>
      </c>
      <c r="F75" s="48">
        <f>F74*Assumptions!$D$25</f>
        <v>604683.1035</v>
      </c>
      <c r="G75" s="48">
        <f>G74*Assumptions!$D$25</f>
        <v>604683.1035</v>
      </c>
      <c r="H75" s="48">
        <f>H74*Assumptions!$D$25</f>
        <v>1036599.606</v>
      </c>
      <c r="I75" s="48">
        <f>I74*Assumptions!$D$25</f>
        <v>1036599.606</v>
      </c>
      <c r="J75" s="48">
        <f>J74*Assumptions!$D$25</f>
        <v>1036599.606</v>
      </c>
      <c r="K75" s="48">
        <f>K74*Assumptions!$D$25</f>
        <v>1036599.606</v>
      </c>
      <c r="L75" s="48">
        <f>L74*Assumptions!$D$25</f>
        <v>1036599.606</v>
      </c>
      <c r="M75" s="48">
        <f>M74*Assumptions!$D$25</f>
        <v>1036599.606</v>
      </c>
      <c r="N75" s="48">
        <f>N74*Assumptions!$D$25</f>
        <v>1554899.409</v>
      </c>
      <c r="O75" s="48">
        <f>O74*Assumptions!$D$25</f>
        <v>1554899.409</v>
      </c>
      <c r="P75" s="48">
        <f>P74*Assumptions!$D$25</f>
        <v>1554899.409</v>
      </c>
      <c r="Q75" s="48">
        <f>Q74*Assumptions!$D$25</f>
        <v>1554899.409</v>
      </c>
      <c r="R75" s="48">
        <f>R74*Assumptions!$D$25</f>
        <v>1554899.409</v>
      </c>
      <c r="S75" s="48">
        <f>S74*Assumptions!$D$25</f>
        <v>1554899.409</v>
      </c>
      <c r="T75" s="48">
        <f>T74*Assumptions!$D$25</f>
        <v>2073199.212</v>
      </c>
      <c r="U75" s="48">
        <f>U74*Assumptions!$D$25</f>
        <v>2073199.212</v>
      </c>
      <c r="V75" s="48">
        <f>V74*Assumptions!$D$25</f>
        <v>2073199.212</v>
      </c>
      <c r="W75" s="48">
        <f>W74*Assumptions!$D$25</f>
        <v>2073199.212</v>
      </c>
      <c r="X75" s="48">
        <f>X74*Assumptions!$D$25</f>
        <v>2073199.212</v>
      </c>
      <c r="Y75" s="48">
        <f>Y74*Assumptions!$D$25</f>
        <v>2073199.212</v>
      </c>
      <c r="Z75" s="73">
        <f t="shared" si="0"/>
        <v>30838838.2785</v>
      </c>
    </row>
    <row r="76" ht="15" customHeight="1">
      <c r="A76" s="72" t="s">
        <v>326</v>
      </c>
      <c r="B76" s="48">
        <f>B72*Assumptions!$B$32</f>
        <v>134.379</v>
      </c>
      <c r="C76" s="48">
        <f>C72*Assumptions!$B$32</f>
        <v>134.379</v>
      </c>
      <c r="D76" s="48">
        <f>D72*Assumptions!$B$32</f>
        <v>134.379</v>
      </c>
      <c r="E76" s="48">
        <f>E72*Assumptions!$B$32</f>
        <v>235.16325</v>
      </c>
      <c r="F76" s="48">
        <f>F72*Assumptions!$B$32</f>
        <v>235.16325</v>
      </c>
      <c r="G76" s="48">
        <f>G72*Assumptions!$B$32</f>
        <v>235.16325</v>
      </c>
      <c r="H76" s="48">
        <f>H72*Assumptions!$B$32</f>
        <v>403.137</v>
      </c>
      <c r="I76" s="48">
        <f>I72*Assumptions!$B$32</f>
        <v>403.137</v>
      </c>
      <c r="J76" s="48">
        <f>J72*Assumptions!$B$32</f>
        <v>403.137</v>
      </c>
      <c r="K76" s="48">
        <f>K72*Assumptions!$B$32</f>
        <v>403.137</v>
      </c>
      <c r="L76" s="48">
        <f>L72*Assumptions!$B$32</f>
        <v>403.137</v>
      </c>
      <c r="M76" s="48">
        <f>M72*Assumptions!$B$32</f>
        <v>403.137</v>
      </c>
      <c r="N76" s="48">
        <f>N72*Assumptions!$B$32</f>
        <v>604.7055</v>
      </c>
      <c r="O76" s="48">
        <f>O72*Assumptions!$B$32</f>
        <v>604.7055</v>
      </c>
      <c r="P76" s="48">
        <f>P72*Assumptions!$B$32</f>
        <v>604.7055</v>
      </c>
      <c r="Q76" s="48">
        <f>Q72*Assumptions!$B$32</f>
        <v>604.7055</v>
      </c>
      <c r="R76" s="48">
        <f>R72*Assumptions!$B$32</f>
        <v>604.7055</v>
      </c>
      <c r="S76" s="48">
        <f>S72*Assumptions!$B$32</f>
        <v>604.7055</v>
      </c>
      <c r="T76" s="48">
        <f>T72*Assumptions!$B$32</f>
        <v>806.274</v>
      </c>
      <c r="U76" s="48">
        <f>U72*Assumptions!$B$32</f>
        <v>806.274</v>
      </c>
      <c r="V76" s="48">
        <f>V72*Assumptions!$B$32</f>
        <v>806.274</v>
      </c>
      <c r="W76" s="48">
        <f>W72*Assumptions!$B$32</f>
        <v>806.274</v>
      </c>
      <c r="X76" s="48">
        <f>X72*Assumptions!$B$32</f>
        <v>806.274</v>
      </c>
      <c r="Y76" s="48">
        <f>Y72*Assumptions!$B$32</f>
        <v>806.274</v>
      </c>
      <c r="Z76" s="73">
        <f t="shared" si="0"/>
        <v>11993.32575</v>
      </c>
    </row>
    <row r="77" ht="15" customHeight="1">
      <c r="A77" s="72" t="s">
        <v>344</v>
      </c>
      <c r="B77" s="48">
        <f>B76*Assumptions!$E$25</f>
        <v>26472.663</v>
      </c>
      <c r="C77" s="48">
        <f>C76*Assumptions!$E$25</f>
        <v>26472.663</v>
      </c>
      <c r="D77" s="48">
        <f>D76*Assumptions!$E$25</f>
        <v>26472.663</v>
      </c>
      <c r="E77" s="48">
        <f>E76*Assumptions!$E$25</f>
        <v>46327.16025</v>
      </c>
      <c r="F77" s="48">
        <f>F76*Assumptions!$E$25</f>
        <v>46327.16025</v>
      </c>
      <c r="G77" s="48">
        <f>G76*Assumptions!$E$25</f>
        <v>46327.16025</v>
      </c>
      <c r="H77" s="48">
        <f>H76*Assumptions!$E$25</f>
        <v>79417.989</v>
      </c>
      <c r="I77" s="48">
        <f>I76*Assumptions!$E$25</f>
        <v>79417.989</v>
      </c>
      <c r="J77" s="48">
        <f>J76*Assumptions!$E$25</f>
        <v>79417.989</v>
      </c>
      <c r="K77" s="48">
        <f>K76*Assumptions!$E$25</f>
        <v>79417.989</v>
      </c>
      <c r="L77" s="48">
        <f>L76*Assumptions!$E$25</f>
        <v>79417.989</v>
      </c>
      <c r="M77" s="48">
        <f>M76*Assumptions!$E$25</f>
        <v>79417.989</v>
      </c>
      <c r="N77" s="48">
        <f>N76*Assumptions!$E$25</f>
        <v>119126.9835</v>
      </c>
      <c r="O77" s="48">
        <f>O76*Assumptions!$E$25</f>
        <v>119126.9835</v>
      </c>
      <c r="P77" s="48">
        <f>P76*Assumptions!$E$25</f>
        <v>119126.9835</v>
      </c>
      <c r="Q77" s="48">
        <f>Q76*Assumptions!$E$25</f>
        <v>119126.9835</v>
      </c>
      <c r="R77" s="48">
        <f>R76*Assumptions!$E$25</f>
        <v>119126.9835</v>
      </c>
      <c r="S77" s="48">
        <f>S76*Assumptions!$E$25</f>
        <v>119126.9835</v>
      </c>
      <c r="T77" s="48">
        <f>T76*Assumptions!$E$25</f>
        <v>158835.978</v>
      </c>
      <c r="U77" s="48">
        <f>U76*Assumptions!$E$25</f>
        <v>158835.978</v>
      </c>
      <c r="V77" s="48">
        <f>V76*Assumptions!$E$25</f>
        <v>158835.978</v>
      </c>
      <c r="W77" s="48">
        <f>W76*Assumptions!$E$25</f>
        <v>158835.978</v>
      </c>
      <c r="X77" s="48">
        <f>X76*Assumptions!$E$25</f>
        <v>158835.978</v>
      </c>
      <c r="Y77" s="48">
        <f>Y76*Assumptions!$E$25</f>
        <v>158835.978</v>
      </c>
      <c r="Z77" s="73">
        <f t="shared" si="0"/>
        <v>2362685.17275</v>
      </c>
    </row>
    <row r="78" ht="15" customHeight="1"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73"/>
    </row>
    <row r="79" ht="15" customHeight="1">
      <c r="A79" s="86" t="s">
        <v>363</v>
      </c>
      <c r="B79" s="48">
        <f t="shared" si="3"/>
        <v>391345.69068</v>
      </c>
      <c r="C79" s="48">
        <f t="shared" si="3"/>
        <v>391345.69068</v>
      </c>
      <c r="D79" s="48">
        <f t="shared" si="3"/>
        <v>391345.69068</v>
      </c>
      <c r="E79" s="48">
        <f t="shared" si="3"/>
        <v>684854.95869</v>
      </c>
      <c r="F79" s="48">
        <f t="shared" si="3"/>
        <v>684854.95869</v>
      </c>
      <c r="G79" s="48">
        <f t="shared" si="3"/>
        <v>684854.95869</v>
      </c>
      <c r="H79" s="48">
        <f t="shared" si="3"/>
        <v>1174037.07204</v>
      </c>
      <c r="I79" s="48">
        <f t="shared" si="3"/>
        <v>1174037.07204</v>
      </c>
      <c r="J79" s="48">
        <f t="shared" si="3"/>
        <v>1174037.07204</v>
      </c>
      <c r="K79" s="48">
        <f t="shared" si="3"/>
        <v>1174037.07204</v>
      </c>
      <c r="L79" s="48">
        <f t="shared" si="3"/>
        <v>1174037.07204</v>
      </c>
      <c r="M79" s="48">
        <f t="shared" si="3"/>
        <v>1174037.07204</v>
      </c>
      <c r="N79" s="48">
        <f t="shared" si="3"/>
        <v>1761055.60806</v>
      </c>
      <c r="O79" s="48">
        <f t="shared" si="3"/>
        <v>1761055.60806</v>
      </c>
      <c r="P79" s="48">
        <f t="shared" si="3"/>
        <v>1761055.60806</v>
      </c>
      <c r="Q79" s="48">
        <f t="shared" si="3"/>
        <v>1761055.60806</v>
      </c>
      <c r="R79" s="48">
        <f t="shared" si="3"/>
        <v>1761055.60806</v>
      </c>
      <c r="S79" s="48">
        <f t="shared" si="3"/>
        <v>1761055.60806</v>
      </c>
      <c r="T79" s="48">
        <f t="shared" si="3"/>
        <v>2348074.14408</v>
      </c>
      <c r="U79" s="48">
        <f t="shared" si="3"/>
        <v>2348074.14408</v>
      </c>
      <c r="V79" s="48">
        <f t="shared" si="3"/>
        <v>2348074.14408</v>
      </c>
      <c r="W79" s="48">
        <f t="shared" si="3"/>
        <v>2348074.14408</v>
      </c>
      <c r="X79" s="48">
        <f t="shared" si="3"/>
        <v>2348074.14408</v>
      </c>
      <c r="Y79" s="48">
        <f t="shared" si="3"/>
        <v>2348074.14408</v>
      </c>
      <c r="Z79" s="73">
        <f t="shared" si="0"/>
        <v>34927602.89319</v>
      </c>
    </row>
    <row r="80" ht="15" customHeight="1">
      <c r="A80" s="86" t="s">
        <v>364</v>
      </c>
      <c r="B80" s="48">
        <f t="shared" si="4"/>
        <v>391345.69068</v>
      </c>
      <c r="C80" s="48">
        <f t="shared" si="4"/>
        <v>391345.69068</v>
      </c>
      <c r="D80" s="48">
        <f t="shared" si="4"/>
        <v>391345.69068</v>
      </c>
      <c r="E80" s="48">
        <f t="shared" si="4"/>
        <v>684854.95869</v>
      </c>
      <c r="F80" s="48">
        <f t="shared" si="4"/>
        <v>684854.95869</v>
      </c>
      <c r="G80" s="48">
        <f t="shared" si="4"/>
        <v>684854.95869</v>
      </c>
      <c r="H80" s="48">
        <f t="shared" si="4"/>
        <v>1174037.07204</v>
      </c>
      <c r="I80" s="48">
        <f t="shared" si="4"/>
        <v>1174037.07204</v>
      </c>
      <c r="J80" s="48">
        <f t="shared" si="4"/>
        <v>1174037.07204</v>
      </c>
      <c r="K80" s="48">
        <f t="shared" si="4"/>
        <v>1174037.07204</v>
      </c>
      <c r="L80" s="48">
        <f t="shared" si="4"/>
        <v>1174037.07204</v>
      </c>
      <c r="M80" s="48">
        <f t="shared" si="4"/>
        <v>1174037.07204</v>
      </c>
      <c r="N80" s="48">
        <f t="shared" si="4"/>
        <v>1761055.60806</v>
      </c>
      <c r="O80" s="48">
        <f t="shared" si="4"/>
        <v>1761055.60806</v>
      </c>
      <c r="P80" s="48">
        <f t="shared" si="4"/>
        <v>1761055.60806</v>
      </c>
      <c r="Q80" s="48">
        <f t="shared" si="4"/>
        <v>1761055.60806</v>
      </c>
      <c r="R80" s="48">
        <f t="shared" si="4"/>
        <v>1761055.60806</v>
      </c>
      <c r="S80" s="48">
        <f t="shared" si="4"/>
        <v>1761055.60806</v>
      </c>
      <c r="T80" s="48">
        <f t="shared" si="4"/>
        <v>2348074.14408</v>
      </c>
      <c r="U80" s="48">
        <f t="shared" si="4"/>
        <v>2348074.14408</v>
      </c>
      <c r="V80" s="48">
        <f t="shared" si="4"/>
        <v>2348074.14408</v>
      </c>
      <c r="W80" s="48">
        <f t="shared" si="4"/>
        <v>2348074.14408</v>
      </c>
      <c r="X80" s="48">
        <f t="shared" si="4"/>
        <v>2348074.14408</v>
      </c>
      <c r="Y80" s="48">
        <f t="shared" si="4"/>
        <v>2348074.14408</v>
      </c>
      <c r="Z80" s="73">
        <f t="shared" si="0"/>
        <v>34927602.89319</v>
      </c>
    </row>
    <row r="81" ht="15" customHeight="1"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5.75" customHeight="1">
      <c r="A82" s="87" t="s">
        <v>365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5" customHeight="1"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5" customHeight="1">
      <c r="A84" s="72" t="s">
        <v>366</v>
      </c>
      <c r="B84" s="48">
        <f t="shared" si="5" ref="B84:Y84">B7+B18+B29+B40+B51+B62+B73</f>
        <v>27984.30768</v>
      </c>
      <c r="C84" s="48">
        <f t="shared" si="5"/>
        <v>27984.30768</v>
      </c>
      <c r="D84" s="48">
        <f t="shared" si="5"/>
        <v>27984.30768</v>
      </c>
      <c r="E84" s="48">
        <f t="shared" si="5"/>
        <v>48993.29064</v>
      </c>
      <c r="F84" s="48">
        <f t="shared" si="5"/>
        <v>48993.29064</v>
      </c>
      <c r="G84" s="48">
        <f t="shared" si="5"/>
        <v>48993.29064</v>
      </c>
      <c r="H84" s="48">
        <f t="shared" si="5"/>
        <v>83952.92304</v>
      </c>
      <c r="I84" s="48">
        <f t="shared" si="5"/>
        <v>83952.92304</v>
      </c>
      <c r="J84" s="48">
        <f t="shared" si="5"/>
        <v>83952.92304</v>
      </c>
      <c r="K84" s="48">
        <f t="shared" si="5"/>
        <v>83952.92304</v>
      </c>
      <c r="L84" s="48">
        <f t="shared" si="5"/>
        <v>83952.92304</v>
      </c>
      <c r="M84" s="48">
        <f t="shared" si="5"/>
        <v>83952.92304</v>
      </c>
      <c r="N84" s="48">
        <f t="shared" si="5"/>
        <v>125929.38456</v>
      </c>
      <c r="O84" s="48">
        <f t="shared" si="5"/>
        <v>125929.38456</v>
      </c>
      <c r="P84" s="48">
        <f t="shared" si="5"/>
        <v>125929.38456</v>
      </c>
      <c r="Q84" s="48">
        <f t="shared" si="5"/>
        <v>125929.38456</v>
      </c>
      <c r="R84" s="48">
        <f t="shared" si="5"/>
        <v>125929.38456</v>
      </c>
      <c r="S84" s="48">
        <f t="shared" si="5"/>
        <v>125929.38456</v>
      </c>
      <c r="T84" s="48">
        <f t="shared" si="5"/>
        <v>167905.84608</v>
      </c>
      <c r="U84" s="48">
        <f t="shared" si="5"/>
        <v>167905.84608</v>
      </c>
      <c r="V84" s="48">
        <f t="shared" si="5"/>
        <v>167905.84608</v>
      </c>
      <c r="W84" s="48">
        <f t="shared" si="5"/>
        <v>167905.84608</v>
      </c>
      <c r="X84" s="48">
        <f t="shared" si="5"/>
        <v>167905.84608</v>
      </c>
      <c r="Y84" s="48">
        <f t="shared" si="5"/>
        <v>167905.84608</v>
      </c>
      <c r="Z84" s="73">
        <f t="shared" si="0"/>
        <v>2497661.71704</v>
      </c>
    </row>
    <row r="85" ht="15" customHeight="1">
      <c r="A85" s="72" t="s">
        <v>367</v>
      </c>
      <c r="B85" s="48">
        <f t="shared" si="6" ref="B85:Y85">B9+B20+B31+B42+B53+B64+B75</f>
        <v>443990.27988</v>
      </c>
      <c r="C85" s="48">
        <f t="shared" si="6"/>
        <v>443990.27988</v>
      </c>
      <c r="D85" s="48">
        <f t="shared" si="6"/>
        <v>443990.27988</v>
      </c>
      <c r="E85" s="48">
        <f t="shared" si="6"/>
        <v>778516.948188</v>
      </c>
      <c r="F85" s="48">
        <f t="shared" si="6"/>
        <v>778516.948188</v>
      </c>
      <c r="G85" s="48">
        <f t="shared" si="6"/>
        <v>778516.948188</v>
      </c>
      <c r="H85" s="48">
        <f t="shared" si="6"/>
        <v>1331970.83964</v>
      </c>
      <c r="I85" s="48">
        <f t="shared" si="6"/>
        <v>1331970.83964</v>
      </c>
      <c r="J85" s="48">
        <f t="shared" si="6"/>
        <v>1331970.83964</v>
      </c>
      <c r="K85" s="48">
        <f t="shared" si="6"/>
        <v>1331970.83964</v>
      </c>
      <c r="L85" s="48">
        <f t="shared" si="6"/>
        <v>1331970.83964</v>
      </c>
      <c r="M85" s="48">
        <f t="shared" si="6"/>
        <v>1331970.83964</v>
      </c>
      <c r="N85" s="48">
        <f t="shared" si="6"/>
        <v>1997956.25946</v>
      </c>
      <c r="O85" s="48">
        <f t="shared" si="6"/>
        <v>1997956.25946</v>
      </c>
      <c r="P85" s="48">
        <f t="shared" si="6"/>
        <v>1997956.25946</v>
      </c>
      <c r="Q85" s="48">
        <f t="shared" si="6"/>
        <v>1997956.25946</v>
      </c>
      <c r="R85" s="48">
        <f t="shared" si="6"/>
        <v>1997956.25946</v>
      </c>
      <c r="S85" s="48">
        <f t="shared" si="6"/>
        <v>1997956.25946</v>
      </c>
      <c r="T85" s="48">
        <f t="shared" si="6"/>
        <v>2663941.67928</v>
      </c>
      <c r="U85" s="48">
        <f t="shared" si="6"/>
        <v>2663941.67928</v>
      </c>
      <c r="V85" s="48">
        <f t="shared" si="6"/>
        <v>2663941.67928</v>
      </c>
      <c r="W85" s="48">
        <f t="shared" si="6"/>
        <v>2663941.67928</v>
      </c>
      <c r="X85" s="48">
        <f t="shared" si="6"/>
        <v>2663941.67928</v>
      </c>
      <c r="Y85" s="48">
        <f t="shared" si="6"/>
        <v>2663941.67928</v>
      </c>
      <c r="Z85" s="73">
        <f t="shared" si="0"/>
        <v>39630734.354484</v>
      </c>
    </row>
    <row r="86" ht="15" customHeight="1">
      <c r="A86" s="72" t="s">
        <v>368</v>
      </c>
      <c r="B86" s="48">
        <f t="shared" si="7" ref="B86:Y86">B11+B22+B33+B44+B55+B66+B77</f>
        <v>1061627.91588</v>
      </c>
      <c r="C86" s="48">
        <f t="shared" si="7"/>
        <v>1061627.91588</v>
      </c>
      <c r="D86" s="48">
        <f t="shared" si="7"/>
        <v>1061627.91588</v>
      </c>
      <c r="E86" s="48">
        <f t="shared" si="7"/>
        <v>1871761.328388</v>
      </c>
      <c r="F86" s="48">
        <f t="shared" si="7"/>
        <v>1871761.328388</v>
      </c>
      <c r="G86" s="48">
        <f t="shared" si="7"/>
        <v>1871761.328388</v>
      </c>
      <c r="H86" s="48">
        <f t="shared" si="7"/>
        <v>3184883.74764</v>
      </c>
      <c r="I86" s="48">
        <f t="shared" si="7"/>
        <v>3184883.74764</v>
      </c>
      <c r="J86" s="48">
        <f t="shared" si="7"/>
        <v>3184883.74764</v>
      </c>
      <c r="K86" s="48">
        <f t="shared" si="7"/>
        <v>3184883.74764</v>
      </c>
      <c r="L86" s="48">
        <f t="shared" si="7"/>
        <v>3184883.74764</v>
      </c>
      <c r="M86" s="48">
        <f t="shared" si="7"/>
        <v>3184883.74764</v>
      </c>
      <c r="N86" s="48">
        <f t="shared" si="7"/>
        <v>4777325.62146</v>
      </c>
      <c r="O86" s="48">
        <f t="shared" si="7"/>
        <v>4777325.62146</v>
      </c>
      <c r="P86" s="48">
        <f t="shared" si="7"/>
        <v>4777325.62146</v>
      </c>
      <c r="Q86" s="48">
        <f t="shared" si="7"/>
        <v>4777325.62146</v>
      </c>
      <c r="R86" s="48">
        <f t="shared" si="7"/>
        <v>4777325.62146</v>
      </c>
      <c r="S86" s="48">
        <f t="shared" si="7"/>
        <v>4777325.62146</v>
      </c>
      <c r="T86" s="48">
        <f t="shared" si="7"/>
        <v>6369767.49528</v>
      </c>
      <c r="U86" s="48">
        <f t="shared" si="7"/>
        <v>6369767.49528</v>
      </c>
      <c r="V86" s="48">
        <f t="shared" si="7"/>
        <v>6369767.49528</v>
      </c>
      <c r="W86" s="48">
        <f t="shared" si="7"/>
        <v>6369767.49528</v>
      </c>
      <c r="X86" s="48">
        <f t="shared" si="7"/>
        <v>6369767.49528</v>
      </c>
      <c r="Y86" s="48">
        <f t="shared" si="7"/>
        <v>6369767.49528</v>
      </c>
      <c r="Z86" s="73">
        <f t="shared" si="0"/>
        <v>94792028.919084</v>
      </c>
    </row>
    <row r="87" ht="15" customHeight="1"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5" customHeight="1">
      <c r="A88" s="88" t="s">
        <v>369</v>
      </c>
      <c r="B88" s="48">
        <f t="shared" si="8" ref="B88:Y88">B24+B34+B44+B54+B64+B74</f>
        <v>35623.27188</v>
      </c>
      <c r="C88" s="48">
        <f t="shared" si="8"/>
        <v>35623.27188</v>
      </c>
      <c r="D88" s="48">
        <f t="shared" si="8"/>
        <v>35623.27188</v>
      </c>
      <c r="E88" s="48">
        <f t="shared" si="8"/>
        <v>62498.972088</v>
      </c>
      <c r="F88" s="48">
        <f t="shared" si="8"/>
        <v>62498.972088</v>
      </c>
      <c r="G88" s="48">
        <f t="shared" si="8"/>
        <v>62498.972088</v>
      </c>
      <c r="H88" s="48">
        <f t="shared" si="8"/>
        <v>106869.81564</v>
      </c>
      <c r="I88" s="48">
        <f t="shared" si="8"/>
        <v>106869.81564</v>
      </c>
      <c r="J88" s="48">
        <f t="shared" si="8"/>
        <v>106869.81564</v>
      </c>
      <c r="K88" s="48">
        <f t="shared" si="8"/>
        <v>106869.81564</v>
      </c>
      <c r="L88" s="48">
        <f t="shared" si="8"/>
        <v>106869.81564</v>
      </c>
      <c r="M88" s="48">
        <f t="shared" si="8"/>
        <v>106869.81564</v>
      </c>
      <c r="N88" s="48">
        <f t="shared" si="8"/>
        <v>160304.72346</v>
      </c>
      <c r="O88" s="48">
        <f t="shared" si="8"/>
        <v>160304.72346</v>
      </c>
      <c r="P88" s="48">
        <f t="shared" si="8"/>
        <v>160304.72346</v>
      </c>
      <c r="Q88" s="48">
        <f t="shared" si="8"/>
        <v>160304.72346</v>
      </c>
      <c r="R88" s="48">
        <f t="shared" si="8"/>
        <v>160304.72346</v>
      </c>
      <c r="S88" s="48">
        <f t="shared" si="8"/>
        <v>160304.72346</v>
      </c>
      <c r="T88" s="48">
        <f t="shared" si="8"/>
        <v>213739.63128</v>
      </c>
      <c r="U88" s="48">
        <f t="shared" si="8"/>
        <v>213739.63128</v>
      </c>
      <c r="V88" s="48">
        <f t="shared" si="8"/>
        <v>213739.63128</v>
      </c>
      <c r="W88" s="48">
        <f t="shared" si="8"/>
        <v>213739.63128</v>
      </c>
      <c r="X88" s="48">
        <f t="shared" si="8"/>
        <v>213739.63128</v>
      </c>
      <c r="Y88" s="48">
        <f t="shared" si="8"/>
        <v>213739.63128</v>
      </c>
      <c r="Z88" s="89">
        <f t="shared" si="0"/>
        <v>3179851.754184</v>
      </c>
    </row>
    <row r="89" ht="15" customHeight="1">
      <c r="A89" s="72" t="s">
        <v>370</v>
      </c>
      <c r="B89" s="48">
        <f t="shared" si="9" ref="B89:Y89">B88*12</f>
        <v>427479.26256</v>
      </c>
      <c r="C89" s="48">
        <f t="shared" si="9"/>
        <v>427479.26256</v>
      </c>
      <c r="D89" s="48">
        <f t="shared" si="9"/>
        <v>427479.26256</v>
      </c>
      <c r="E89" s="48">
        <f t="shared" si="9"/>
        <v>749987.665056</v>
      </c>
      <c r="F89" s="48">
        <f t="shared" si="9"/>
        <v>749987.665056</v>
      </c>
      <c r="G89" s="48">
        <f t="shared" si="9"/>
        <v>749987.665056</v>
      </c>
      <c r="H89" s="48">
        <f t="shared" si="9"/>
        <v>1282437.78768</v>
      </c>
      <c r="I89" s="48">
        <f t="shared" si="9"/>
        <v>1282437.78768</v>
      </c>
      <c r="J89" s="48">
        <f t="shared" si="9"/>
        <v>1282437.78768</v>
      </c>
      <c r="K89" s="48">
        <f t="shared" si="9"/>
        <v>1282437.78768</v>
      </c>
      <c r="L89" s="48">
        <f t="shared" si="9"/>
        <v>1282437.78768</v>
      </c>
      <c r="M89" s="48">
        <f t="shared" si="9"/>
        <v>1282437.78768</v>
      </c>
      <c r="N89" s="48">
        <f t="shared" si="9"/>
        <v>1923656.68152</v>
      </c>
      <c r="O89" s="48">
        <f t="shared" si="9"/>
        <v>1923656.68152</v>
      </c>
      <c r="P89" s="48">
        <f t="shared" si="9"/>
        <v>1923656.68152</v>
      </c>
      <c r="Q89" s="48">
        <f t="shared" si="9"/>
        <v>1923656.68152</v>
      </c>
      <c r="R89" s="48">
        <f t="shared" si="9"/>
        <v>1923656.68152</v>
      </c>
      <c r="S89" s="48">
        <f t="shared" si="9"/>
        <v>1923656.68152</v>
      </c>
      <c r="T89" s="48">
        <f t="shared" si="9"/>
        <v>2564875.57536</v>
      </c>
      <c r="U89" s="48">
        <f t="shared" si="9"/>
        <v>2564875.57536</v>
      </c>
      <c r="V89" s="48">
        <f t="shared" si="9"/>
        <v>2564875.57536</v>
      </c>
      <c r="W89" s="48">
        <f t="shared" si="9"/>
        <v>2564875.57536</v>
      </c>
      <c r="X89" s="48">
        <f t="shared" si="9"/>
        <v>2564875.57536</v>
      </c>
      <c r="Y89" s="48">
        <f t="shared" si="9"/>
        <v>2564875.57536</v>
      </c>
      <c r="Z89" s="73">
        <f t="shared" si="0"/>
        <v>38158221.050208</v>
      </c>
    </row>
    <row r="90" ht="15" customHeight="1"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5" customHeight="1">
      <c r="A91" s="72" t="s">
        <v>371</v>
      </c>
      <c r="B91" s="48">
        <f>B88</f>
        <v>35623.27188</v>
      </c>
      <c r="C91" s="48">
        <f t="shared" si="10" ref="C91:Y91">B91+C88</f>
        <v>71246.54376</v>
      </c>
      <c r="D91" s="48">
        <f t="shared" si="10"/>
        <v>106869.81564</v>
      </c>
      <c r="E91" s="48">
        <f t="shared" si="10"/>
        <v>169368.787728</v>
      </c>
      <c r="F91" s="48">
        <f t="shared" si="10"/>
        <v>231867.759816</v>
      </c>
      <c r="G91" s="48">
        <f t="shared" si="10"/>
        <v>294366.731904</v>
      </c>
      <c r="H91" s="48">
        <f t="shared" si="10"/>
        <v>401236.547544</v>
      </c>
      <c r="I91" s="48">
        <f t="shared" si="10"/>
        <v>508106.363184</v>
      </c>
      <c r="J91" s="48">
        <f t="shared" si="10"/>
        <v>614976.178824</v>
      </c>
      <c r="K91" s="48">
        <f t="shared" si="10"/>
        <v>721845.994464</v>
      </c>
      <c r="L91" s="48">
        <f t="shared" si="10"/>
        <v>828715.810104</v>
      </c>
      <c r="M91" s="48">
        <f t="shared" si="10"/>
        <v>935585.625744</v>
      </c>
      <c r="N91" s="48">
        <f t="shared" si="10"/>
        <v>1095890.349204</v>
      </c>
      <c r="O91" s="48">
        <f t="shared" si="10"/>
        <v>1256195.072664</v>
      </c>
      <c r="P91" s="48">
        <f t="shared" si="10"/>
        <v>1416499.796124</v>
      </c>
      <c r="Q91" s="48">
        <f t="shared" si="10"/>
        <v>1576804.519584</v>
      </c>
      <c r="R91" s="48">
        <f t="shared" si="10"/>
        <v>1737109.243044</v>
      </c>
      <c r="S91" s="48">
        <f t="shared" si="10"/>
        <v>1897413.966504</v>
      </c>
      <c r="T91" s="48">
        <f t="shared" si="10"/>
        <v>2111153.597784</v>
      </c>
      <c r="U91" s="48">
        <f t="shared" si="10"/>
        <v>2324893.229064</v>
      </c>
      <c r="V91" s="48">
        <f t="shared" si="10"/>
        <v>2538632.860344</v>
      </c>
      <c r="W91" s="48">
        <f t="shared" si="10"/>
        <v>2752372.491624</v>
      </c>
      <c r="X91" s="48">
        <f t="shared" si="10"/>
        <v>2966112.122904</v>
      </c>
      <c r="Y91" s="48">
        <f t="shared" si="10"/>
        <v>3179851.754184</v>
      </c>
      <c r="Z91" s="73">
        <f>Y91</f>
        <v>3179851.754184</v>
      </c>
    </row>
    <row r="92" ht="15" customHeight="1">
      <c r="A92" s="72" t="s">
        <v>372</v>
      </c>
      <c r="B92" s="37">
        <f>0</f>
        <v>0</v>
      </c>
      <c r="C92" s="37">
        <f t="shared" si="11" ref="C92:Y92">IF(B88=0,0,(C88-B88)/B88)</f>
        <v>0</v>
      </c>
      <c r="D92" s="37">
        <f t="shared" si="11"/>
        <v>0</v>
      </c>
      <c r="E92" s="37">
        <f t="shared" si="11"/>
        <v>0.754442216833228</v>
      </c>
      <c r="F92" s="37">
        <f t="shared" si="11"/>
        <v>0</v>
      </c>
      <c r="G92" s="37">
        <f t="shared" si="11"/>
        <v>0</v>
      </c>
      <c r="H92" s="37">
        <f t="shared" si="11"/>
        <v>0.709945173010603</v>
      </c>
      <c r="I92" s="37">
        <f t="shared" si="11"/>
        <v>0</v>
      </c>
      <c r="J92" s="37">
        <f t="shared" si="11"/>
        <v>0</v>
      </c>
      <c r="K92" s="37">
        <f t="shared" si="11"/>
        <v>0</v>
      </c>
      <c r="L92" s="37">
        <f t="shared" si="11"/>
        <v>0</v>
      </c>
      <c r="M92" s="37">
        <f t="shared" si="11"/>
        <v>0</v>
      </c>
      <c r="N92" s="37">
        <f t="shared" si="11"/>
        <v>0.5</v>
      </c>
      <c r="O92" s="37">
        <f t="shared" si="11"/>
        <v>0</v>
      </c>
      <c r="P92" s="37">
        <f t="shared" si="11"/>
        <v>0</v>
      </c>
      <c r="Q92" s="37">
        <f t="shared" si="11"/>
        <v>0</v>
      </c>
      <c r="R92" s="37">
        <f t="shared" si="11"/>
        <v>0</v>
      </c>
      <c r="S92" s="37">
        <f t="shared" si="11"/>
        <v>0</v>
      </c>
      <c r="T92" s="37">
        <f t="shared" si="11"/>
        <v>0.333333333333333</v>
      </c>
      <c r="U92" s="37">
        <f t="shared" si="11"/>
        <v>0</v>
      </c>
      <c r="V92" s="37">
        <f t="shared" si="11"/>
        <v>0</v>
      </c>
      <c r="W92" s="37">
        <f t="shared" si="11"/>
        <v>0</v>
      </c>
      <c r="X92" s="37">
        <f t="shared" si="11"/>
        <v>0</v>
      </c>
      <c r="Y92" s="37">
        <f t="shared" si="11"/>
        <v>0</v>
      </c>
      <c r="Z92" s="73">
        <f>AVERAGE(B92:Y92)</f>
        <v>0.0957383634657152</v>
      </c>
    </row>
    <row r="93" ht="15" customHeight="1"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5" customHeight="1">
      <c r="A94" s="90" t="s">
        <v>373</v>
      </c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</sheetData>
  <mergeCells>
    <mergeCell ref="A1:Z1"/>
    <mergeCell ref="A2:Z2"/>
    <mergeCell ref="A5:Z5"/>
    <mergeCell ref="A16:Z16"/>
    <mergeCell ref="A27:Z27"/>
    <mergeCell ref="A38:Z38"/>
    <mergeCell ref="A49:Z49"/>
    <mergeCell ref="A60:Z60"/>
    <mergeCell ref="A71:Z71"/>
    <mergeCell ref="A82:Z82"/>
    <mergeCell ref="A94:Z94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4F16F42-6A25-2128-6CB8-5C49B105C8C8}" mc:Ignorable="x14ac xr xr2 xr3">
  <dimension ref="A1:GR1000"/>
  <sheetViews>
    <sheetView workbookViewId="0">
      <pane xSplit="1" ySplit="5" topLeftCell="R6" activePane="bottomRight" state="frozen"/>
      <selection pane="bottomLeft" activeCell="A6" sqref="A6"/>
      <selection pane="topRight" activeCell="B1" sqref="B1"/>
      <selection pane="bottomRight" activeCell="A1" sqref="A1:Z1"/>
    </sheetView>
  </sheetViews>
  <sheetFormatPr defaultRowHeight="15" defaultColWidth="8.8515625" customHeight="1"/>
  <cols>
    <col min="1" max="1" width="40.00390625" customWidth="1"/>
    <col min="2" max="25" width="12.140625" customWidth="1"/>
    <col min="26" max="26" width="18.57421875" customWidth="1"/>
    <col min="27" max="27" width="28.57421875" customWidth="1"/>
    <col min="28" max="28" width="17.140625" customWidth="1"/>
  </cols>
  <sheetData>
    <row r="1" ht="18.75" customHeight="1">
      <c r="A1" s="68" t="s">
        <v>374</v>
      </c>
    </row>
    <row r="2" ht="15.75" customHeight="1">
      <c r="A2" s="91" t="s">
        <v>375</v>
      </c>
    </row>
    <row r="4" ht="15.75" customHeight="1">
      <c r="A4" s="92" t="s">
        <v>376</v>
      </c>
      <c r="B4" s="92" t="s">
        <v>270</v>
      </c>
      <c r="C4" s="92" t="s">
        <v>271</v>
      </c>
      <c r="D4" s="92" t="s">
        <v>272</v>
      </c>
      <c r="E4" s="92" t="s">
        <v>15</v>
      </c>
      <c r="F4" s="92" t="s">
        <v>273</v>
      </c>
      <c r="G4" s="92" t="s">
        <v>274</v>
      </c>
      <c r="H4" s="92" t="s">
        <v>275</v>
      </c>
      <c r="I4" s="92" t="s">
        <v>276</v>
      </c>
      <c r="J4" s="92" t="s">
        <v>277</v>
      </c>
      <c r="K4" s="92" t="s">
        <v>278</v>
      </c>
      <c r="L4" s="92" t="s">
        <v>279</v>
      </c>
      <c r="M4" s="92" t="s">
        <v>280</v>
      </c>
      <c r="N4" s="92" t="s">
        <v>281</v>
      </c>
      <c r="O4" s="92" t="s">
        <v>282</v>
      </c>
      <c r="P4" s="92" t="s">
        <v>283</v>
      </c>
      <c r="Q4" s="92" t="s">
        <v>284</v>
      </c>
      <c r="R4" s="92" t="s">
        <v>285</v>
      </c>
      <c r="S4" s="92" t="s">
        <v>286</v>
      </c>
      <c r="T4" s="92" t="s">
        <v>287</v>
      </c>
      <c r="U4" s="92" t="s">
        <v>288</v>
      </c>
      <c r="V4" s="92" t="s">
        <v>289</v>
      </c>
      <c r="W4" s="92" t="s">
        <v>290</v>
      </c>
      <c r="X4" s="92" t="s">
        <v>291</v>
      </c>
      <c r="Y4" s="92" t="s">
        <v>292</v>
      </c>
      <c r="Z4" s="92" t="s">
        <v>340</v>
      </c>
      <c r="AB4" s="93"/>
    </row>
    <row r="5" ht="16.5" customHeight="1">
      <c r="A5" s="94" t="s">
        <v>377</v>
      </c>
      <c r="AB5" s="95" t="e">
        <f>AVERAGE(B25:Y25)</f>
        <v>#DIV/0!</v>
      </c>
    </row>
    <row r="6" ht="16.5" customHeight="1">
      <c r="A6" s="96" t="s">
        <v>229</v>
      </c>
      <c r="B6" s="48">
        <f>'Accounts &amp; Traffic'!B14*Assumptions!$C64</f>
        <v>100</v>
      </c>
      <c r="C6" s="48">
        <f>'Accounts &amp; Traffic'!C14*Assumptions!$C64</f>
        <v>100</v>
      </c>
      <c r="D6" s="48">
        <f>'Accounts &amp; Traffic'!D14*Assumptions!$C64</f>
        <v>100</v>
      </c>
      <c r="E6" s="48">
        <f>'Accounts &amp; Traffic'!E14*Assumptions!$C64</f>
        <v>175</v>
      </c>
      <c r="F6" s="48">
        <f>'Accounts &amp; Traffic'!F14*Assumptions!$C64</f>
        <v>175</v>
      </c>
      <c r="G6" s="48">
        <f>'Accounts &amp; Traffic'!G14*Assumptions!$C64</f>
        <v>175</v>
      </c>
      <c r="H6" s="48">
        <f>'Accounts &amp; Traffic'!H14*Assumptions!$C64</f>
        <v>300</v>
      </c>
      <c r="I6" s="48">
        <f>'Accounts &amp; Traffic'!I14*Assumptions!$C64</f>
        <v>300</v>
      </c>
      <c r="J6" s="48">
        <f>'Accounts &amp; Traffic'!J14*Assumptions!$C64</f>
        <v>300</v>
      </c>
      <c r="K6" s="48">
        <f>'Accounts &amp; Traffic'!K14*Assumptions!$C64</f>
        <v>300</v>
      </c>
      <c r="L6" s="48">
        <f>'Accounts &amp; Traffic'!L14*Assumptions!$C64</f>
        <v>300</v>
      </c>
      <c r="M6" s="48">
        <f>'Accounts &amp; Traffic'!M14*Assumptions!$C64</f>
        <v>300</v>
      </c>
      <c r="N6" s="48">
        <f>'Accounts &amp; Traffic'!N14*Assumptions!$C64</f>
        <v>450</v>
      </c>
      <c r="O6" s="48">
        <f>'Accounts &amp; Traffic'!O14*Assumptions!$C64</f>
        <v>450</v>
      </c>
      <c r="P6" s="48">
        <f>'Accounts &amp; Traffic'!P14*Assumptions!$C64</f>
        <v>450</v>
      </c>
      <c r="Q6" s="48">
        <f>'Accounts &amp; Traffic'!Q14*Assumptions!$C64</f>
        <v>450</v>
      </c>
      <c r="R6" s="48">
        <f>'Accounts &amp; Traffic'!R14*Assumptions!$C64</f>
        <v>450</v>
      </c>
      <c r="S6" s="48">
        <f>'Accounts &amp; Traffic'!S14*Assumptions!$C64</f>
        <v>450</v>
      </c>
      <c r="T6" s="48">
        <f>'Accounts &amp; Traffic'!T14*Assumptions!$C64</f>
        <v>600</v>
      </c>
      <c r="U6" s="48">
        <f>'Accounts &amp; Traffic'!U14*Assumptions!$C64</f>
        <v>600</v>
      </c>
      <c r="V6" s="48">
        <f>'Accounts &amp; Traffic'!V14*Assumptions!$C64</f>
        <v>600</v>
      </c>
      <c r="W6" s="48">
        <f>'Accounts &amp; Traffic'!W14*Assumptions!$C64</f>
        <v>600</v>
      </c>
      <c r="X6" s="48">
        <f>'Accounts &amp; Traffic'!X14*Assumptions!$C64</f>
        <v>600</v>
      </c>
      <c r="Y6" s="48">
        <f>'Accounts &amp; Traffic'!Y14*Assumptions!$C64</f>
        <v>600</v>
      </c>
      <c r="Z6" s="97">
        <f t="shared" si="0" ref="Z6:Z30">SUM(B6:Y6)</f>
        <v>8925</v>
      </c>
      <c r="AB6" s="95">
        <f>Y25</f>
        <v>0</v>
      </c>
    </row>
    <row r="7" ht="16.5" customHeight="1">
      <c r="A7" s="96" t="s">
        <v>231</v>
      </c>
      <c r="B7" s="48">
        <f>'Accounts &amp; Traffic'!B14*Assumptions!$C65</f>
        <v>56</v>
      </c>
      <c r="C7" s="48">
        <f>'Accounts &amp; Traffic'!C14*Assumptions!$C65</f>
        <v>56</v>
      </c>
      <c r="D7" s="48">
        <f>'Accounts &amp; Traffic'!D14*Assumptions!$C65</f>
        <v>56</v>
      </c>
      <c r="E7" s="48">
        <f>'Accounts &amp; Traffic'!E14*Assumptions!$C65</f>
        <v>98</v>
      </c>
      <c r="F7" s="48">
        <f>'Accounts &amp; Traffic'!F14*Assumptions!$C65</f>
        <v>98</v>
      </c>
      <c r="G7" s="48">
        <f>'Accounts &amp; Traffic'!G14*Assumptions!$C65</f>
        <v>98</v>
      </c>
      <c r="H7" s="48">
        <f>'Accounts &amp; Traffic'!H14*Assumptions!$C65</f>
        <v>168</v>
      </c>
      <c r="I7" s="48">
        <f>'Accounts &amp; Traffic'!I14*Assumptions!$C65</f>
        <v>168</v>
      </c>
      <c r="J7" s="48">
        <f>'Accounts &amp; Traffic'!J14*Assumptions!$C65</f>
        <v>168</v>
      </c>
      <c r="K7" s="48">
        <f>'Accounts &amp; Traffic'!K14*Assumptions!$C65</f>
        <v>168</v>
      </c>
      <c r="L7" s="48">
        <f>'Accounts &amp; Traffic'!L14*Assumptions!$C65</f>
        <v>168</v>
      </c>
      <c r="M7" s="48">
        <f>'Accounts &amp; Traffic'!M14*Assumptions!$C65</f>
        <v>168</v>
      </c>
      <c r="N7" s="48">
        <f>'Accounts &amp; Traffic'!N14*Assumptions!$C65</f>
        <v>252</v>
      </c>
      <c r="O7" s="48">
        <f>'Accounts &amp; Traffic'!O14*Assumptions!$C65</f>
        <v>252</v>
      </c>
      <c r="P7" s="48">
        <f>'Accounts &amp; Traffic'!P14*Assumptions!$C65</f>
        <v>252</v>
      </c>
      <c r="Q7" s="48">
        <f>'Accounts &amp; Traffic'!Q14*Assumptions!$C65</f>
        <v>252</v>
      </c>
      <c r="R7" s="48">
        <f>'Accounts &amp; Traffic'!R14*Assumptions!$C65</f>
        <v>252</v>
      </c>
      <c r="S7" s="48">
        <f>'Accounts &amp; Traffic'!S14*Assumptions!$C65</f>
        <v>252</v>
      </c>
      <c r="T7" s="48">
        <f>'Accounts &amp; Traffic'!T14*Assumptions!$C65</f>
        <v>336</v>
      </c>
      <c r="U7" s="48">
        <f>'Accounts &amp; Traffic'!U14*Assumptions!$C65</f>
        <v>336</v>
      </c>
      <c r="V7" s="48">
        <f>'Accounts &amp; Traffic'!V14*Assumptions!$C65</f>
        <v>336</v>
      </c>
      <c r="W7" s="48">
        <f>'Accounts &amp; Traffic'!W14*Assumptions!$C65</f>
        <v>336</v>
      </c>
      <c r="X7" s="48">
        <f>'Accounts &amp; Traffic'!X14*Assumptions!$C65</f>
        <v>336</v>
      </c>
      <c r="Y7" s="48">
        <f>'Accounts &amp; Traffic'!Y14*Assumptions!$C65</f>
        <v>336</v>
      </c>
      <c r="Z7" s="97">
        <f t="shared" si="0"/>
        <v>4998</v>
      </c>
      <c r="AB7" s="95">
        <f>SUM(B23:Y23)</f>
        <v>5040</v>
      </c>
    </row>
    <row r="8" ht="16.5" customHeight="1">
      <c r="A8" s="96" t="s">
        <v>233</v>
      </c>
      <c r="B8" s="48">
        <f>'Accounts &amp; Traffic'!B14*Assumptions!$C66</f>
        <v>30</v>
      </c>
      <c r="C8" s="48">
        <f>'Accounts &amp; Traffic'!C14*Assumptions!$C66</f>
        <v>30</v>
      </c>
      <c r="D8" s="48">
        <f>'Accounts &amp; Traffic'!D14*Assumptions!$C66</f>
        <v>30</v>
      </c>
      <c r="E8" s="48">
        <f>'Accounts &amp; Traffic'!E14*Assumptions!$C66</f>
        <v>52.5</v>
      </c>
      <c r="F8" s="48">
        <f>'Accounts &amp; Traffic'!F14*Assumptions!$C66</f>
        <v>52.5</v>
      </c>
      <c r="G8" s="48">
        <f>'Accounts &amp; Traffic'!G14*Assumptions!$C66</f>
        <v>52.5</v>
      </c>
      <c r="H8" s="48">
        <f>'Accounts &amp; Traffic'!H14*Assumptions!$C66</f>
        <v>90</v>
      </c>
      <c r="I8" s="48">
        <f>'Accounts &amp; Traffic'!I14*Assumptions!$C66</f>
        <v>90</v>
      </c>
      <c r="J8" s="48">
        <f>'Accounts &amp; Traffic'!J14*Assumptions!$C66</f>
        <v>90</v>
      </c>
      <c r="K8" s="48">
        <f>'Accounts &amp; Traffic'!K14*Assumptions!$C66</f>
        <v>90</v>
      </c>
      <c r="L8" s="48">
        <f>'Accounts &amp; Traffic'!L14*Assumptions!$C66</f>
        <v>90</v>
      </c>
      <c r="M8" s="48">
        <f>'Accounts &amp; Traffic'!M14*Assumptions!$C66</f>
        <v>90</v>
      </c>
      <c r="N8" s="48">
        <f>'Accounts &amp; Traffic'!N14*Assumptions!$C66</f>
        <v>135</v>
      </c>
      <c r="O8" s="48">
        <f>'Accounts &amp; Traffic'!O14*Assumptions!$C66</f>
        <v>135</v>
      </c>
      <c r="P8" s="48">
        <f>'Accounts &amp; Traffic'!P14*Assumptions!$C66</f>
        <v>135</v>
      </c>
      <c r="Q8" s="48">
        <f>'Accounts &amp; Traffic'!Q14*Assumptions!$C66</f>
        <v>135</v>
      </c>
      <c r="R8" s="48">
        <f>'Accounts &amp; Traffic'!R14*Assumptions!$C66</f>
        <v>135</v>
      </c>
      <c r="S8" s="48">
        <f>'Accounts &amp; Traffic'!S14*Assumptions!$C66</f>
        <v>135</v>
      </c>
      <c r="T8" s="48">
        <f>'Accounts &amp; Traffic'!T14*Assumptions!$C66</f>
        <v>180</v>
      </c>
      <c r="U8" s="48">
        <f>'Accounts &amp; Traffic'!U14*Assumptions!$C66</f>
        <v>180</v>
      </c>
      <c r="V8" s="48">
        <f>'Accounts &amp; Traffic'!V14*Assumptions!$C66</f>
        <v>180</v>
      </c>
      <c r="W8" s="48">
        <f>'Accounts &amp; Traffic'!W14*Assumptions!$C66</f>
        <v>180</v>
      </c>
      <c r="X8" s="48">
        <f>'Accounts &amp; Traffic'!X14*Assumptions!$C66</f>
        <v>180</v>
      </c>
      <c r="Y8" s="48">
        <f>'Accounts &amp; Traffic'!Y14*Assumptions!$C66</f>
        <v>180</v>
      </c>
      <c r="Z8" s="97">
        <f t="shared" si="0"/>
        <v>2677.5</v>
      </c>
      <c r="AB8" s="95">
        <f>AVERAGE(B26:Y26)</f>
        <v>3078.8125</v>
      </c>
    </row>
    <row r="9" ht="16.5" customHeight="1">
      <c r="A9" s="96" t="s">
        <v>378</v>
      </c>
      <c r="B9" s="48">
        <f>'Accounts &amp; Traffic'!B21*0.015</f>
        <v>270</v>
      </c>
      <c r="C9" s="48">
        <f>'Accounts &amp; Traffic'!C21*0.015</f>
        <v>270</v>
      </c>
      <c r="D9" s="48">
        <f>'Accounts &amp; Traffic'!D21*0.015</f>
        <v>270</v>
      </c>
      <c r="E9" s="48">
        <f>'Accounts &amp; Traffic'!E21*0.015</f>
        <v>472.5</v>
      </c>
      <c r="F9" s="48">
        <f>'Accounts &amp; Traffic'!F21*0.015</f>
        <v>472.5</v>
      </c>
      <c r="G9" s="48">
        <f>'Accounts &amp; Traffic'!G21*0.015</f>
        <v>472.5</v>
      </c>
      <c r="H9" s="48">
        <f>'Accounts &amp; Traffic'!H21*0.015</f>
        <v>810</v>
      </c>
      <c r="I9" s="48">
        <f>'Accounts &amp; Traffic'!I21*0.015</f>
        <v>810</v>
      </c>
      <c r="J9" s="48">
        <f>'Accounts &amp; Traffic'!J21*0.015</f>
        <v>810</v>
      </c>
      <c r="K9" s="48">
        <f>'Accounts &amp; Traffic'!K21*0.015</f>
        <v>810</v>
      </c>
      <c r="L9" s="48">
        <f>'Accounts &amp; Traffic'!L21*0.015</f>
        <v>810</v>
      </c>
      <c r="M9" s="48">
        <f>'Accounts &amp; Traffic'!M21*0.015</f>
        <v>810</v>
      </c>
      <c r="N9" s="48">
        <f>'Accounts &amp; Traffic'!N21*0.015</f>
        <v>1215</v>
      </c>
      <c r="O9" s="48">
        <f>'Accounts &amp; Traffic'!O21*0.015</f>
        <v>1215</v>
      </c>
      <c r="P9" s="48">
        <f>'Accounts &amp; Traffic'!P21*0.015</f>
        <v>1215</v>
      </c>
      <c r="Q9" s="48">
        <f>'Accounts &amp; Traffic'!Q21*0.015</f>
        <v>1215</v>
      </c>
      <c r="R9" s="48">
        <f>'Accounts &amp; Traffic'!R21*0.015</f>
        <v>1215</v>
      </c>
      <c r="S9" s="48">
        <f>'Accounts &amp; Traffic'!S21*0.015</f>
        <v>1215</v>
      </c>
      <c r="T9" s="48">
        <f>'Accounts &amp; Traffic'!T21*0.015</f>
        <v>1620</v>
      </c>
      <c r="U9" s="48">
        <f>'Accounts &amp; Traffic'!U21*0.015</f>
        <v>1620</v>
      </c>
      <c r="V9" s="48">
        <f>'Accounts &amp; Traffic'!V21*0.015</f>
        <v>1620</v>
      </c>
      <c r="W9" s="48">
        <f>'Accounts &amp; Traffic'!W21*0.015</f>
        <v>1620</v>
      </c>
      <c r="X9" s="48">
        <f>'Accounts &amp; Traffic'!X21*0.015</f>
        <v>1620</v>
      </c>
      <c r="Y9" s="48">
        <f>'Accounts &amp; Traffic'!Y21*0.015</f>
        <v>1620</v>
      </c>
      <c r="Z9" s="97">
        <f t="shared" si="0"/>
        <v>24097.5</v>
      </c>
      <c r="AB9" s="95">
        <f>B23</f>
        <v>210</v>
      </c>
    </row>
    <row r="10" ht="16.5" customHeight="1">
      <c r="A10" s="96" t="s">
        <v>379</v>
      </c>
      <c r="B10" s="48">
        <f>IF('Accounts &amp; Traffic'!B14&lt;=500,200,IF('Accounts &amp; Traffic'!B14&lt;=1000,500,1200))</f>
        <v>200</v>
      </c>
      <c r="C10" s="48">
        <f>IF('Accounts &amp; Traffic'!C14&lt;=500,200,IF('Accounts &amp; Traffic'!C14&lt;=1000,500,1200))</f>
        <v>200</v>
      </c>
      <c r="D10" s="48">
        <f>IF('Accounts &amp; Traffic'!D14&lt;=500,200,IF('Accounts &amp; Traffic'!D14&lt;=1000,500,1200))</f>
        <v>200</v>
      </c>
      <c r="E10" s="48">
        <f>IF('Accounts &amp; Traffic'!E14&lt;=500,200,IF('Accounts &amp; Traffic'!E14&lt;=1000,500,1200))</f>
        <v>200</v>
      </c>
      <c r="F10" s="48">
        <f>IF('Accounts &amp; Traffic'!F14&lt;=500,200,IF('Accounts &amp; Traffic'!F14&lt;=1000,500,1200))</f>
        <v>200</v>
      </c>
      <c r="G10" s="48">
        <f>IF('Accounts &amp; Traffic'!G14&lt;=500,200,IF('Accounts &amp; Traffic'!G14&lt;=1000,500,1200))</f>
        <v>200</v>
      </c>
      <c r="H10" s="48">
        <f>IF('Accounts &amp; Traffic'!H14&lt;=500,200,IF('Accounts &amp; Traffic'!H14&lt;=1000,500,1200))</f>
        <v>500</v>
      </c>
      <c r="I10" s="48">
        <f>IF('Accounts &amp; Traffic'!I14&lt;=500,200,IF('Accounts &amp; Traffic'!I14&lt;=1000,500,1200))</f>
        <v>500</v>
      </c>
      <c r="J10" s="48">
        <f>IF('Accounts &amp; Traffic'!J14&lt;=500,200,IF('Accounts &amp; Traffic'!J14&lt;=1000,500,1200))</f>
        <v>500</v>
      </c>
      <c r="K10" s="48">
        <f>IF('Accounts &amp; Traffic'!K14&lt;=500,200,IF('Accounts &amp; Traffic'!K14&lt;=1000,500,1200))</f>
        <v>500</v>
      </c>
      <c r="L10" s="48">
        <f>IF('Accounts &amp; Traffic'!L14&lt;=500,200,IF('Accounts &amp; Traffic'!L14&lt;=1000,500,1200))</f>
        <v>500</v>
      </c>
      <c r="M10" s="48">
        <f>IF('Accounts &amp; Traffic'!M14&lt;=500,200,IF('Accounts &amp; Traffic'!M14&lt;=1000,500,1200))</f>
        <v>500</v>
      </c>
      <c r="N10" s="48">
        <f>IF('Accounts &amp; Traffic'!N14&lt;=500,200,IF('Accounts &amp; Traffic'!N14&lt;=1000,500,1200))</f>
        <v>500</v>
      </c>
      <c r="O10" s="48">
        <f>IF('Accounts &amp; Traffic'!O14&lt;=500,200,IF('Accounts &amp; Traffic'!O14&lt;=1000,500,1200))</f>
        <v>500</v>
      </c>
      <c r="P10" s="48">
        <f>IF('Accounts &amp; Traffic'!P14&lt;=500,200,IF('Accounts &amp; Traffic'!P14&lt;=1000,500,1200))</f>
        <v>500</v>
      </c>
      <c r="Q10" s="48">
        <f>IF('Accounts &amp; Traffic'!Q14&lt;=500,200,IF('Accounts &amp; Traffic'!Q14&lt;=1000,500,1200))</f>
        <v>500</v>
      </c>
      <c r="R10" s="48">
        <f>IF('Accounts &amp; Traffic'!R14&lt;=500,200,IF('Accounts &amp; Traffic'!R14&lt;=1000,500,1200))</f>
        <v>500</v>
      </c>
      <c r="S10" s="48">
        <f>IF('Accounts &amp; Traffic'!S14&lt;=500,200,IF('Accounts &amp; Traffic'!S14&lt;=1000,500,1200))</f>
        <v>500</v>
      </c>
      <c r="T10" s="48">
        <f>IF('Accounts &amp; Traffic'!T14&lt;=500,200,IF('Accounts &amp; Traffic'!T14&lt;=1000,500,1200))</f>
        <v>1200</v>
      </c>
      <c r="U10" s="48">
        <f>IF('Accounts &amp; Traffic'!U14&lt;=500,200,IF('Accounts &amp; Traffic'!U14&lt;=1000,500,1200))</f>
        <v>1200</v>
      </c>
      <c r="V10" s="48">
        <f>IF('Accounts &amp; Traffic'!V14&lt;=500,200,IF('Accounts &amp; Traffic'!V14&lt;=1000,500,1200))</f>
        <v>1200</v>
      </c>
      <c r="W10" s="48">
        <f>IF('Accounts &amp; Traffic'!W14&lt;=500,200,IF('Accounts &amp; Traffic'!W14&lt;=1000,500,1200))</f>
        <v>1200</v>
      </c>
      <c r="X10" s="48">
        <f>IF('Accounts &amp; Traffic'!X14&lt;=500,200,IF('Accounts &amp; Traffic'!X14&lt;=1000,500,1200))</f>
        <v>1200</v>
      </c>
      <c r="Y10" s="48">
        <f>IF('Accounts &amp; Traffic'!Y14&lt;=500,200,IF('Accounts &amp; Traffic'!Y14&lt;=1000,500,1200))</f>
        <v>1200</v>
      </c>
      <c r="Z10" s="97">
        <f t="shared" si="0"/>
        <v>14400</v>
      </c>
      <c r="AB10" s="95">
        <f>Y23</f>
        <v>210</v>
      </c>
    </row>
    <row r="11" ht="16.5" customHeight="1">
      <c r="A11" s="96" t="s">
        <v>239</v>
      </c>
      <c r="B11" s="48">
        <f>IF('Accounts &amp; Traffic'!B14&lt;=300,50,IF('Accounts &amp; Traffic'!B14&lt;=800,150,300))</f>
        <v>50</v>
      </c>
      <c r="C11" s="48">
        <f>IF('Accounts &amp; Traffic'!C14&lt;=300,50,IF('Accounts &amp; Traffic'!C14&lt;=800,150,300))</f>
        <v>50</v>
      </c>
      <c r="D11" s="48">
        <f>IF('Accounts &amp; Traffic'!D14&lt;=300,50,IF('Accounts &amp; Traffic'!D14&lt;=800,150,300))</f>
        <v>50</v>
      </c>
      <c r="E11" s="48">
        <f>IF('Accounts &amp; Traffic'!E14&lt;=300,50,IF('Accounts &amp; Traffic'!E14&lt;=800,150,300))</f>
        <v>150</v>
      </c>
      <c r="F11" s="48">
        <f>IF('Accounts &amp; Traffic'!F14&lt;=300,50,IF('Accounts &amp; Traffic'!F14&lt;=800,150,300))</f>
        <v>150</v>
      </c>
      <c r="G11" s="48">
        <f>IF('Accounts &amp; Traffic'!G14&lt;=300,50,IF('Accounts &amp; Traffic'!G14&lt;=800,150,300))</f>
        <v>150</v>
      </c>
      <c r="H11" s="48">
        <f>IF('Accounts &amp; Traffic'!H14&lt;=300,50,IF('Accounts &amp; Traffic'!H14&lt;=800,150,300))</f>
        <v>150</v>
      </c>
      <c r="I11" s="48">
        <f>IF('Accounts &amp; Traffic'!I14&lt;=300,50,IF('Accounts &amp; Traffic'!I14&lt;=800,150,300))</f>
        <v>150</v>
      </c>
      <c r="J11" s="48">
        <f>IF('Accounts &amp; Traffic'!J14&lt;=300,50,IF('Accounts &amp; Traffic'!J14&lt;=800,150,300))</f>
        <v>150</v>
      </c>
      <c r="K11" s="48">
        <f>IF('Accounts &amp; Traffic'!K14&lt;=300,50,IF('Accounts &amp; Traffic'!K14&lt;=800,150,300))</f>
        <v>150</v>
      </c>
      <c r="L11" s="48">
        <f>IF('Accounts &amp; Traffic'!L14&lt;=300,50,IF('Accounts &amp; Traffic'!L14&lt;=800,150,300))</f>
        <v>150</v>
      </c>
      <c r="M11" s="48">
        <f>IF('Accounts &amp; Traffic'!M14&lt;=300,50,IF('Accounts &amp; Traffic'!M14&lt;=800,150,300))</f>
        <v>150</v>
      </c>
      <c r="N11" s="48">
        <f>IF('Accounts &amp; Traffic'!N14&lt;=300,50,IF('Accounts &amp; Traffic'!N14&lt;=800,150,300))</f>
        <v>300</v>
      </c>
      <c r="O11" s="48">
        <f>IF('Accounts &amp; Traffic'!O14&lt;=300,50,IF('Accounts &amp; Traffic'!O14&lt;=800,150,300))</f>
        <v>300</v>
      </c>
      <c r="P11" s="48">
        <f>IF('Accounts &amp; Traffic'!P14&lt;=300,50,IF('Accounts &amp; Traffic'!P14&lt;=800,150,300))</f>
        <v>300</v>
      </c>
      <c r="Q11" s="48">
        <f>IF('Accounts &amp; Traffic'!Q14&lt;=300,50,IF('Accounts &amp; Traffic'!Q14&lt;=800,150,300))</f>
        <v>300</v>
      </c>
      <c r="R11" s="48">
        <f>IF('Accounts &amp; Traffic'!R14&lt;=300,50,IF('Accounts &amp; Traffic'!R14&lt;=800,150,300))</f>
        <v>300</v>
      </c>
      <c r="S11" s="48">
        <f>IF('Accounts &amp; Traffic'!S14&lt;=300,50,IF('Accounts &amp; Traffic'!S14&lt;=800,150,300))</f>
        <v>300</v>
      </c>
      <c r="T11" s="48">
        <f>IF('Accounts &amp; Traffic'!T14&lt;=300,50,IF('Accounts &amp; Traffic'!T14&lt;=800,150,300))</f>
        <v>300</v>
      </c>
      <c r="U11" s="48">
        <f>IF('Accounts &amp; Traffic'!U14&lt;=300,50,IF('Accounts &amp; Traffic'!U14&lt;=800,150,300))</f>
        <v>300</v>
      </c>
      <c r="V11" s="48">
        <f>IF('Accounts &amp; Traffic'!V14&lt;=300,50,IF('Accounts &amp; Traffic'!V14&lt;=800,150,300))</f>
        <v>300</v>
      </c>
      <c r="W11" s="48">
        <f>IF('Accounts &amp; Traffic'!W14&lt;=300,50,IF('Accounts &amp; Traffic'!W14&lt;=800,150,300))</f>
        <v>300</v>
      </c>
      <c r="X11" s="48">
        <f>IF('Accounts &amp; Traffic'!X14&lt;=300,50,IF('Accounts &amp; Traffic'!X14&lt;=800,150,300))</f>
        <v>300</v>
      </c>
      <c r="Y11" s="48">
        <f>IF('Accounts &amp; Traffic'!Y14&lt;=300,50,IF('Accounts &amp; Traffic'!Y14&lt;=800,150,300))</f>
        <v>300</v>
      </c>
      <c r="Z11" s="97">
        <f t="shared" si="0"/>
        <v>5100</v>
      </c>
      <c r="AB11" s="48"/>
    </row>
    <row r="12" ht="16.5" customHeight="1">
      <c r="A12" s="96" t="s">
        <v>242</v>
      </c>
      <c r="B12" s="48">
        <f>150+('Accounts &amp; Traffic'!B14*0.15)</f>
        <v>180</v>
      </c>
      <c r="C12" s="48">
        <f>150+('Accounts &amp; Traffic'!C14*0.15)</f>
        <v>180</v>
      </c>
      <c r="D12" s="48">
        <f>150+('Accounts &amp; Traffic'!D14*0.15)</f>
        <v>180</v>
      </c>
      <c r="E12" s="48">
        <f>150+('Accounts &amp; Traffic'!E14*0.15)</f>
        <v>202.5</v>
      </c>
      <c r="F12" s="48">
        <f>150+('Accounts &amp; Traffic'!F14*0.15)</f>
        <v>202.5</v>
      </c>
      <c r="G12" s="48">
        <f>150+('Accounts &amp; Traffic'!G14*0.15)</f>
        <v>202.5</v>
      </c>
      <c r="H12" s="48">
        <f>150+('Accounts &amp; Traffic'!H14*0.15)</f>
        <v>240</v>
      </c>
      <c r="I12" s="48">
        <f>150+('Accounts &amp; Traffic'!I14*0.15)</f>
        <v>240</v>
      </c>
      <c r="J12" s="48">
        <f>150+('Accounts &amp; Traffic'!J14*0.15)</f>
        <v>240</v>
      </c>
      <c r="K12" s="48">
        <f>150+('Accounts &amp; Traffic'!K14*0.15)</f>
        <v>240</v>
      </c>
      <c r="L12" s="48">
        <f>150+('Accounts &amp; Traffic'!L14*0.15)</f>
        <v>240</v>
      </c>
      <c r="M12" s="48">
        <f>150+('Accounts &amp; Traffic'!M14*0.15)</f>
        <v>240</v>
      </c>
      <c r="N12" s="48">
        <f>150+('Accounts &amp; Traffic'!N14*0.15)</f>
        <v>285</v>
      </c>
      <c r="O12" s="48">
        <f>150+('Accounts &amp; Traffic'!O14*0.15)</f>
        <v>285</v>
      </c>
      <c r="P12" s="48">
        <f>150+('Accounts &amp; Traffic'!P14*0.15)</f>
        <v>285</v>
      </c>
      <c r="Q12" s="48">
        <f>150+('Accounts &amp; Traffic'!Q14*0.15)</f>
        <v>285</v>
      </c>
      <c r="R12" s="48">
        <f>150+('Accounts &amp; Traffic'!R14*0.15)</f>
        <v>285</v>
      </c>
      <c r="S12" s="48">
        <f>150+('Accounts &amp; Traffic'!S14*0.15)</f>
        <v>285</v>
      </c>
      <c r="T12" s="48">
        <f>150+('Accounts &amp; Traffic'!T14*0.15)</f>
        <v>330</v>
      </c>
      <c r="U12" s="48">
        <f>150+('Accounts &amp; Traffic'!U14*0.15)</f>
        <v>330</v>
      </c>
      <c r="V12" s="48">
        <f>150+('Accounts &amp; Traffic'!V14*0.15)</f>
        <v>330</v>
      </c>
      <c r="W12" s="48">
        <f>150+('Accounts &amp; Traffic'!W14*0.15)</f>
        <v>330</v>
      </c>
      <c r="X12" s="48">
        <f>150+('Accounts &amp; Traffic'!X14*0.15)</f>
        <v>330</v>
      </c>
      <c r="Y12" s="48">
        <f>150+('Accounts &amp; Traffic'!Y14*0.15)</f>
        <v>330</v>
      </c>
      <c r="Z12" s="97">
        <f t="shared" si="0"/>
        <v>6277.5</v>
      </c>
      <c r="AB12" s="48"/>
    </row>
    <row r="13" ht="15" customHeight="1">
      <c r="A13" t="s">
        <v>380</v>
      </c>
      <c r="B13" s="48">
        <f>MIN('Accounts &amp; Traffic'!B21*0.3*0.03,99)</f>
        <v>99</v>
      </c>
      <c r="C13" s="48">
        <f>MIN('Accounts &amp; Traffic'!C21*0.3*0.03,99)</f>
        <v>99</v>
      </c>
      <c r="D13" s="48">
        <f>MIN('Accounts &amp; Traffic'!D21*0.3*0.03,99)</f>
        <v>99</v>
      </c>
      <c r="E13" s="48">
        <f>MIN('Accounts &amp; Traffic'!E21*0.3*0.03,99)</f>
        <v>99</v>
      </c>
      <c r="F13" s="48">
        <f>MIN('Accounts &amp; Traffic'!F21*0.3*0.03,99)</f>
        <v>99</v>
      </c>
      <c r="G13" s="48">
        <f>MIN('Accounts &amp; Traffic'!G21*0.3*0.03,99)</f>
        <v>99</v>
      </c>
      <c r="H13" s="48">
        <f>MIN('Accounts &amp; Traffic'!H21*0.3*0.03,99)</f>
        <v>99</v>
      </c>
      <c r="I13" s="48">
        <f>MIN('Accounts &amp; Traffic'!I21*0.3*0.03,99)</f>
        <v>99</v>
      </c>
      <c r="J13" s="48">
        <f>MIN('Accounts &amp; Traffic'!J21*0.3*0.03,99)</f>
        <v>99</v>
      </c>
      <c r="K13" s="48">
        <f>MIN('Accounts &amp; Traffic'!K21*0.3*0.03,99)</f>
        <v>99</v>
      </c>
      <c r="L13" s="48">
        <f>MIN('Accounts &amp; Traffic'!L21*0.3*0.03,99)</f>
        <v>99</v>
      </c>
      <c r="M13" s="48">
        <f>MIN('Accounts &amp; Traffic'!M21*0.3*0.03,99)</f>
        <v>99</v>
      </c>
      <c r="N13" s="48">
        <f>MIN('Accounts &amp; Traffic'!N21*0.3*0.03,99)</f>
        <v>99</v>
      </c>
      <c r="O13" s="48">
        <f>MIN('Accounts &amp; Traffic'!O21*0.3*0.03,99)</f>
        <v>99</v>
      </c>
      <c r="P13" s="48">
        <f>MIN('Accounts &amp; Traffic'!P21*0.3*0.03,99)</f>
        <v>99</v>
      </c>
      <c r="Q13" s="48">
        <f>MIN('Accounts &amp; Traffic'!Q21*0.3*0.03,99)</f>
        <v>99</v>
      </c>
      <c r="R13" s="48">
        <f>MIN('Accounts &amp; Traffic'!R21*0.3*0.03,99)</f>
        <v>99</v>
      </c>
      <c r="S13" s="48">
        <f>MIN('Accounts &amp; Traffic'!S21*0.3*0.03,99)</f>
        <v>99</v>
      </c>
      <c r="T13" s="48">
        <f>MIN('Accounts &amp; Traffic'!T21*0.3*0.03,99)</f>
        <v>99</v>
      </c>
      <c r="U13" s="48">
        <f>MIN('Accounts &amp; Traffic'!U21*0.3*0.03,99)</f>
        <v>99</v>
      </c>
      <c r="V13" s="48">
        <f>MIN('Accounts &amp; Traffic'!V21*0.3*0.03,99)</f>
        <v>99</v>
      </c>
      <c r="W13" s="48">
        <f>MIN('Accounts &amp; Traffic'!W21*0.3*0.03,99)</f>
        <v>99</v>
      </c>
      <c r="X13" s="48">
        <f>MIN('Accounts &amp; Traffic'!X21*0.3*0.03,99)</f>
        <v>99</v>
      </c>
      <c r="Y13" s="48">
        <f>MIN('Accounts &amp; Traffic'!Y21*0.3*0.03,99)</f>
        <v>99</v>
      </c>
      <c r="Z13" s="48">
        <f t="shared" si="0"/>
        <v>2376</v>
      </c>
      <c r="AB13" s="48"/>
    </row>
    <row r="14" ht="16.5" customHeight="1">
      <c r="B14" s="48">
        <f t="shared" si="1" ref="B14:Y14">SUM(B6:B13)</f>
        <v>985</v>
      </c>
      <c r="C14" s="48">
        <f t="shared" si="1"/>
        <v>985</v>
      </c>
      <c r="D14" s="48">
        <f t="shared" si="1"/>
        <v>985</v>
      </c>
      <c r="E14" s="48">
        <f t="shared" si="1"/>
        <v>1449.5</v>
      </c>
      <c r="F14" s="48">
        <f t="shared" si="1"/>
        <v>1449.5</v>
      </c>
      <c r="G14" s="48">
        <f t="shared" si="1"/>
        <v>1449.5</v>
      </c>
      <c r="H14" s="48">
        <f t="shared" si="1"/>
        <v>2357</v>
      </c>
      <c r="I14" s="48">
        <f t="shared" si="1"/>
        <v>2357</v>
      </c>
      <c r="J14" s="48">
        <f t="shared" si="1"/>
        <v>2357</v>
      </c>
      <c r="K14" s="48">
        <f t="shared" si="1"/>
        <v>2357</v>
      </c>
      <c r="L14" s="48">
        <f t="shared" si="1"/>
        <v>2357</v>
      </c>
      <c r="M14" s="48">
        <f t="shared" si="1"/>
        <v>2357</v>
      </c>
      <c r="N14" s="48">
        <f t="shared" si="1"/>
        <v>3236</v>
      </c>
      <c r="O14" s="48">
        <f t="shared" si="1"/>
        <v>3236</v>
      </c>
      <c r="P14" s="48">
        <f t="shared" si="1"/>
        <v>3236</v>
      </c>
      <c r="Q14" s="48">
        <f t="shared" si="1"/>
        <v>3236</v>
      </c>
      <c r="R14" s="48">
        <f t="shared" si="1"/>
        <v>3236</v>
      </c>
      <c r="S14" s="48">
        <f t="shared" si="1"/>
        <v>3236</v>
      </c>
      <c r="T14" s="48">
        <f t="shared" si="1"/>
        <v>4665</v>
      </c>
      <c r="U14" s="48">
        <f t="shared" si="1"/>
        <v>4665</v>
      </c>
      <c r="V14" s="48">
        <f t="shared" si="1"/>
        <v>4665</v>
      </c>
      <c r="W14" s="48">
        <f t="shared" si="1"/>
        <v>4665</v>
      </c>
      <c r="X14" s="48">
        <f t="shared" si="1"/>
        <v>4665</v>
      </c>
      <c r="Y14" s="48">
        <f t="shared" si="1"/>
        <v>4665</v>
      </c>
      <c r="Z14" s="48">
        <f t="shared" si="0"/>
        <v>68851.5</v>
      </c>
      <c r="AB14" s="48"/>
    </row>
    <row r="15" ht="16.5" customHeight="1">
      <c r="A15" s="98" t="s">
        <v>381</v>
      </c>
      <c r="B15" s="99">
        <f t="shared" si="2" ref="B15:Y15">SUM(B6:B12)</f>
        <v>886</v>
      </c>
      <c r="C15" s="99">
        <f t="shared" si="2"/>
        <v>886</v>
      </c>
      <c r="D15" s="99">
        <f t="shared" si="2"/>
        <v>886</v>
      </c>
      <c r="E15" s="99">
        <f t="shared" si="2"/>
        <v>1350.5</v>
      </c>
      <c r="F15" s="99">
        <f t="shared" si="2"/>
        <v>1350.5</v>
      </c>
      <c r="G15" s="99">
        <f t="shared" si="2"/>
        <v>1350.5</v>
      </c>
      <c r="H15" s="99">
        <f t="shared" si="2"/>
        <v>2258</v>
      </c>
      <c r="I15" s="99">
        <f t="shared" si="2"/>
        <v>2258</v>
      </c>
      <c r="J15" s="99">
        <f t="shared" si="2"/>
        <v>2258</v>
      </c>
      <c r="K15" s="99">
        <f t="shared" si="2"/>
        <v>2258</v>
      </c>
      <c r="L15" s="99">
        <f t="shared" si="2"/>
        <v>2258</v>
      </c>
      <c r="M15" s="99">
        <f t="shared" si="2"/>
        <v>2258</v>
      </c>
      <c r="N15" s="99">
        <f t="shared" si="2"/>
        <v>3137</v>
      </c>
      <c r="O15" s="99">
        <f t="shared" si="2"/>
        <v>3137</v>
      </c>
      <c r="P15" s="99">
        <f t="shared" si="2"/>
        <v>3137</v>
      </c>
      <c r="Q15" s="99">
        <f t="shared" si="2"/>
        <v>3137</v>
      </c>
      <c r="R15" s="99">
        <f t="shared" si="2"/>
        <v>3137</v>
      </c>
      <c r="S15" s="99">
        <f t="shared" si="2"/>
        <v>3137</v>
      </c>
      <c r="T15" s="99">
        <f t="shared" si="2"/>
        <v>4566</v>
      </c>
      <c r="U15" s="99">
        <f t="shared" si="2"/>
        <v>4566</v>
      </c>
      <c r="V15" s="99">
        <f t="shared" si="2"/>
        <v>4566</v>
      </c>
      <c r="W15" s="99">
        <f t="shared" si="2"/>
        <v>4566</v>
      </c>
      <c r="X15" s="99">
        <f t="shared" si="2"/>
        <v>4566</v>
      </c>
      <c r="Y15" s="99">
        <f t="shared" si="2"/>
        <v>4566</v>
      </c>
      <c r="Z15" s="100">
        <f t="shared" si="0"/>
        <v>66475.5</v>
      </c>
      <c r="AB15" s="48"/>
    </row>
    <row r="16" ht="16.5" customHeight="1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B16" s="48"/>
    </row>
    <row r="17" ht="15.75" customHeight="1">
      <c r="A17" s="101" t="s">
        <v>382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B17" s="48"/>
    </row>
    <row r="18" ht="16.5" customHeight="1">
      <c r="A18" s="96" t="s">
        <v>247</v>
      </c>
      <c r="B18" s="48">
        <f>Assumptions!$B73</f>
        <v>30</v>
      </c>
      <c r="C18" s="48">
        <f>Assumptions!$B73</f>
        <v>30</v>
      </c>
      <c r="D18" s="48">
        <f>Assumptions!$B73</f>
        <v>30</v>
      </c>
      <c r="E18" s="48">
        <f>Assumptions!$B73</f>
        <v>30</v>
      </c>
      <c r="F18" s="48">
        <f>Assumptions!$B73</f>
        <v>30</v>
      </c>
      <c r="G18" s="48">
        <f>Assumptions!$B73</f>
        <v>30</v>
      </c>
      <c r="H18" s="48">
        <f>Assumptions!$B73</f>
        <v>30</v>
      </c>
      <c r="I18" s="48">
        <f>Assumptions!$B73</f>
        <v>30</v>
      </c>
      <c r="J18" s="48">
        <f>Assumptions!$B73</f>
        <v>30</v>
      </c>
      <c r="K18" s="48">
        <f>Assumptions!$B73</f>
        <v>30</v>
      </c>
      <c r="L18" s="48">
        <f>Assumptions!$B73</f>
        <v>30</v>
      </c>
      <c r="M18" s="48">
        <f>Assumptions!$B73</f>
        <v>30</v>
      </c>
      <c r="N18" s="48">
        <f>Assumptions!$B73</f>
        <v>30</v>
      </c>
      <c r="O18" s="48">
        <f>Assumptions!$B73</f>
        <v>30</v>
      </c>
      <c r="P18" s="48">
        <f>Assumptions!$B73</f>
        <v>30</v>
      </c>
      <c r="Q18" s="48">
        <f>Assumptions!$B73</f>
        <v>30</v>
      </c>
      <c r="R18" s="48">
        <f>Assumptions!$B73</f>
        <v>30</v>
      </c>
      <c r="S18" s="48">
        <f>Assumptions!$B73</f>
        <v>30</v>
      </c>
      <c r="T18" s="48">
        <f>Assumptions!$B73</f>
        <v>30</v>
      </c>
      <c r="U18" s="48">
        <f>Assumptions!$B73</f>
        <v>30</v>
      </c>
      <c r="V18" s="48">
        <f>Assumptions!$B73</f>
        <v>30</v>
      </c>
      <c r="W18" s="48">
        <f>Assumptions!$B73</f>
        <v>30</v>
      </c>
      <c r="X18" s="48">
        <f>Assumptions!$B73</f>
        <v>30</v>
      </c>
      <c r="Y18" s="48">
        <f>Assumptions!$B73</f>
        <v>30</v>
      </c>
      <c r="Z18" s="97">
        <f t="shared" si="0"/>
        <v>720</v>
      </c>
      <c r="AB18" s="48"/>
    </row>
    <row r="19" ht="15" customHeight="1">
      <c r="A19" s="96" t="s">
        <v>248</v>
      </c>
      <c r="B19" s="48">
        <f>Assumptions!$B74</f>
        <v>100</v>
      </c>
      <c r="C19" s="48">
        <f>Assumptions!$B74</f>
        <v>100</v>
      </c>
      <c r="D19" s="48">
        <f>Assumptions!$B74</f>
        <v>100</v>
      </c>
      <c r="E19" s="48">
        <f>Assumptions!$B74</f>
        <v>100</v>
      </c>
      <c r="F19" s="48">
        <f>Assumptions!$B74</f>
        <v>100</v>
      </c>
      <c r="G19" s="48">
        <f>Assumptions!$B74</f>
        <v>100</v>
      </c>
      <c r="H19" s="48">
        <f>Assumptions!$B74</f>
        <v>100</v>
      </c>
      <c r="I19" s="48">
        <f>Assumptions!$B74</f>
        <v>100</v>
      </c>
      <c r="J19" s="48">
        <f>Assumptions!$B74</f>
        <v>100</v>
      </c>
      <c r="K19" s="48">
        <f>Assumptions!$B74</f>
        <v>100</v>
      </c>
      <c r="L19" s="48">
        <f>Assumptions!$B74</f>
        <v>100</v>
      </c>
      <c r="M19" s="48">
        <f>Assumptions!$B74</f>
        <v>100</v>
      </c>
      <c r="N19" s="48">
        <f>Assumptions!$B74</f>
        <v>100</v>
      </c>
      <c r="O19" s="48">
        <f>Assumptions!$B74</f>
        <v>100</v>
      </c>
      <c r="P19" s="48">
        <f>Assumptions!$B74</f>
        <v>100</v>
      </c>
      <c r="Q19" s="48">
        <f>Assumptions!$B74</f>
        <v>100</v>
      </c>
      <c r="R19" s="48">
        <f>Assumptions!$B74</f>
        <v>100</v>
      </c>
      <c r="S19" s="48">
        <f>Assumptions!$B74</f>
        <v>100</v>
      </c>
      <c r="T19" s="48">
        <f>Assumptions!$B74</f>
        <v>100</v>
      </c>
      <c r="U19" s="48">
        <f>Assumptions!$B74</f>
        <v>100</v>
      </c>
      <c r="V19" s="48">
        <f>Assumptions!$B74</f>
        <v>100</v>
      </c>
      <c r="W19" s="48">
        <f>Assumptions!$B74</f>
        <v>100</v>
      </c>
      <c r="X19" s="48">
        <f>Assumptions!$B74</f>
        <v>100</v>
      </c>
      <c r="Y19" s="48">
        <f>Assumptions!$B74</f>
        <v>100</v>
      </c>
      <c r="Z19" s="97">
        <f t="shared" si="0"/>
        <v>2400</v>
      </c>
      <c r="AB19" s="48"/>
    </row>
    <row r="20" ht="15.75" customHeight="1">
      <c r="A20" s="96" t="s">
        <v>249</v>
      </c>
      <c r="B20" s="48">
        <f>Assumptions!$B75</f>
        <v>70</v>
      </c>
      <c r="C20" s="48">
        <f>Assumptions!$B75</f>
        <v>70</v>
      </c>
      <c r="D20" s="48">
        <f>Assumptions!$B75</f>
        <v>70</v>
      </c>
      <c r="E20" s="48">
        <f>Assumptions!$B75</f>
        <v>70</v>
      </c>
      <c r="F20" s="48">
        <f>Assumptions!$B75</f>
        <v>70</v>
      </c>
      <c r="G20" s="48">
        <f>Assumptions!$B75</f>
        <v>70</v>
      </c>
      <c r="H20" s="48">
        <f>Assumptions!$B75</f>
        <v>70</v>
      </c>
      <c r="I20" s="48">
        <f>Assumptions!$B75</f>
        <v>70</v>
      </c>
      <c r="J20" s="48">
        <f>Assumptions!$B75</f>
        <v>70</v>
      </c>
      <c r="K20" s="48">
        <f>Assumptions!$B75</f>
        <v>70</v>
      </c>
      <c r="L20" s="48">
        <f>Assumptions!$B75</f>
        <v>70</v>
      </c>
      <c r="M20" s="48">
        <f>Assumptions!$B75</f>
        <v>70</v>
      </c>
      <c r="N20" s="48">
        <f>Assumptions!$B75</f>
        <v>70</v>
      </c>
      <c r="O20" s="48">
        <f>Assumptions!$B75</f>
        <v>70</v>
      </c>
      <c r="P20" s="48">
        <f>Assumptions!$B75</f>
        <v>70</v>
      </c>
      <c r="Q20" s="48">
        <f>Assumptions!$B75</f>
        <v>70</v>
      </c>
      <c r="R20" s="48">
        <f>Assumptions!$B75</f>
        <v>70</v>
      </c>
      <c r="S20" s="48">
        <f>Assumptions!$B75</f>
        <v>70</v>
      </c>
      <c r="T20" s="48">
        <f>Assumptions!$B75</f>
        <v>70</v>
      </c>
      <c r="U20" s="48">
        <f>Assumptions!$B75</f>
        <v>70</v>
      </c>
      <c r="V20" s="48">
        <f>Assumptions!$B75</f>
        <v>70</v>
      </c>
      <c r="W20" s="48">
        <f>Assumptions!$B75</f>
        <v>70</v>
      </c>
      <c r="X20" s="48">
        <f>Assumptions!$B75</f>
        <v>70</v>
      </c>
      <c r="Y20" s="48">
        <f>Assumptions!$B75</f>
        <v>70</v>
      </c>
      <c r="Z20" s="97">
        <f t="shared" si="0"/>
        <v>1680</v>
      </c>
      <c r="AB20" s="48"/>
    </row>
    <row r="21" ht="15.75" customHeight="1">
      <c r="A21" s="96" t="s">
        <v>251</v>
      </c>
      <c r="B21" s="48">
        <f>Assumptions!$B77</f>
        <v>10</v>
      </c>
      <c r="C21" s="48">
        <f>Assumptions!$B77</f>
        <v>10</v>
      </c>
      <c r="D21" s="48">
        <f>Assumptions!$B77</f>
        <v>10</v>
      </c>
      <c r="E21" s="48">
        <f>Assumptions!$B77</f>
        <v>10</v>
      </c>
      <c r="F21" s="48">
        <f>Assumptions!$B77</f>
        <v>10</v>
      </c>
      <c r="G21" s="48">
        <f>Assumptions!$B77</f>
        <v>10</v>
      </c>
      <c r="H21" s="48">
        <f>Assumptions!$B77</f>
        <v>10</v>
      </c>
      <c r="I21" s="48">
        <f>Assumptions!$B77</f>
        <v>10</v>
      </c>
      <c r="J21" s="48">
        <f>Assumptions!$B77</f>
        <v>10</v>
      </c>
      <c r="K21" s="48">
        <f>Assumptions!$B77</f>
        <v>10</v>
      </c>
      <c r="L21" s="48">
        <f>Assumptions!$B77</f>
        <v>10</v>
      </c>
      <c r="M21" s="48">
        <f>Assumptions!$B77</f>
        <v>10</v>
      </c>
      <c r="N21" s="48">
        <f>Assumptions!$B77</f>
        <v>10</v>
      </c>
      <c r="O21" s="48">
        <f>Assumptions!$B77</f>
        <v>10</v>
      </c>
      <c r="P21" s="48">
        <f>Assumptions!$B77</f>
        <v>10</v>
      </c>
      <c r="Q21" s="48">
        <f>Assumptions!$B77</f>
        <v>10</v>
      </c>
      <c r="R21" s="48">
        <f>Assumptions!$B77</f>
        <v>10</v>
      </c>
      <c r="S21" s="48">
        <f>Assumptions!$B77</f>
        <v>10</v>
      </c>
      <c r="T21" s="48">
        <f>Assumptions!$B77</f>
        <v>10</v>
      </c>
      <c r="U21" s="48">
        <f>Assumptions!$B77</f>
        <v>10</v>
      </c>
      <c r="V21" s="48">
        <f>Assumptions!$B77</f>
        <v>10</v>
      </c>
      <c r="W21" s="48">
        <f>Assumptions!$B77</f>
        <v>10</v>
      </c>
      <c r="X21" s="48">
        <f>Assumptions!$B77</f>
        <v>10</v>
      </c>
      <c r="Y21" s="48">
        <f>Assumptions!$B77</f>
        <v>10</v>
      </c>
      <c r="Z21" s="97">
        <f t="shared" si="0"/>
        <v>240</v>
      </c>
      <c r="AB21" s="48"/>
    </row>
    <row r="22" ht="16.5" customHeight="1"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B22" s="48"/>
    </row>
    <row r="23" ht="16.5" customHeight="1">
      <c r="A23" s="102" t="s">
        <v>383</v>
      </c>
      <c r="B23" s="103">
        <f t="shared" si="3" ref="B23:Y23">SUM(B17:B22)</f>
        <v>210</v>
      </c>
      <c r="C23" s="103">
        <f t="shared" si="3"/>
        <v>210</v>
      </c>
      <c r="D23" s="103">
        <f t="shared" si="3"/>
        <v>210</v>
      </c>
      <c r="E23" s="103">
        <f t="shared" si="3"/>
        <v>210</v>
      </c>
      <c r="F23" s="103">
        <f t="shared" si="3"/>
        <v>210</v>
      </c>
      <c r="G23" s="103">
        <f t="shared" si="3"/>
        <v>210</v>
      </c>
      <c r="H23" s="103">
        <f t="shared" si="3"/>
        <v>210</v>
      </c>
      <c r="I23" s="103">
        <f t="shared" si="3"/>
        <v>210</v>
      </c>
      <c r="J23" s="103">
        <f t="shared" si="3"/>
        <v>210</v>
      </c>
      <c r="K23" s="103">
        <f t="shared" si="3"/>
        <v>210</v>
      </c>
      <c r="L23" s="103">
        <f t="shared" si="3"/>
        <v>210</v>
      </c>
      <c r="M23" s="103">
        <f t="shared" si="3"/>
        <v>210</v>
      </c>
      <c r="N23" s="103">
        <f t="shared" si="3"/>
        <v>210</v>
      </c>
      <c r="O23" s="103">
        <f t="shared" si="3"/>
        <v>210</v>
      </c>
      <c r="P23" s="103">
        <f t="shared" si="3"/>
        <v>210</v>
      </c>
      <c r="Q23" s="103">
        <f t="shared" si="3"/>
        <v>210</v>
      </c>
      <c r="R23" s="103">
        <f t="shared" si="3"/>
        <v>210</v>
      </c>
      <c r="S23" s="103">
        <f t="shared" si="3"/>
        <v>210</v>
      </c>
      <c r="T23" s="103">
        <f t="shared" si="3"/>
        <v>210</v>
      </c>
      <c r="U23" s="103">
        <f t="shared" si="3"/>
        <v>210</v>
      </c>
      <c r="V23" s="103">
        <f t="shared" si="3"/>
        <v>210</v>
      </c>
      <c r="W23" s="103">
        <f t="shared" si="3"/>
        <v>210</v>
      </c>
      <c r="X23" s="103">
        <f t="shared" si="3"/>
        <v>210</v>
      </c>
      <c r="Y23" s="103">
        <f t="shared" si="3"/>
        <v>210</v>
      </c>
      <c r="Z23" s="100">
        <f t="shared" si="0"/>
        <v>5040</v>
      </c>
      <c r="AB23" s="48"/>
    </row>
    <row r="24" ht="16.5" customHeight="1"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B24" s="48"/>
    </row>
    <row r="25" ht="15.75" customHeight="1">
      <c r="A25" s="104" t="s">
        <v>384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B25" s="48"/>
    </row>
    <row r="26" ht="16.5" customHeight="1">
      <c r="A26" s="105" t="s">
        <v>385</v>
      </c>
      <c r="B26" s="106">
        <f t="shared" si="4" ref="B26:Y26">B14+B23</f>
        <v>1195</v>
      </c>
      <c r="C26" s="106">
        <f t="shared" si="4"/>
        <v>1195</v>
      </c>
      <c r="D26" s="106">
        <f t="shared" si="4"/>
        <v>1195</v>
      </c>
      <c r="E26" s="106">
        <f t="shared" si="4"/>
        <v>1659.5</v>
      </c>
      <c r="F26" s="106">
        <f t="shared" si="4"/>
        <v>1659.5</v>
      </c>
      <c r="G26" s="106">
        <f t="shared" si="4"/>
        <v>1659.5</v>
      </c>
      <c r="H26" s="106">
        <f t="shared" si="4"/>
        <v>2567</v>
      </c>
      <c r="I26" s="106">
        <f t="shared" si="4"/>
        <v>2567</v>
      </c>
      <c r="J26" s="106">
        <f t="shared" si="4"/>
        <v>2567</v>
      </c>
      <c r="K26" s="106">
        <f t="shared" si="4"/>
        <v>2567</v>
      </c>
      <c r="L26" s="106">
        <f t="shared" si="4"/>
        <v>2567</v>
      </c>
      <c r="M26" s="106">
        <f t="shared" si="4"/>
        <v>2567</v>
      </c>
      <c r="N26" s="106">
        <f t="shared" si="4"/>
        <v>3446</v>
      </c>
      <c r="O26" s="106">
        <f t="shared" si="4"/>
        <v>3446</v>
      </c>
      <c r="P26" s="106">
        <f t="shared" si="4"/>
        <v>3446</v>
      </c>
      <c r="Q26" s="106">
        <f t="shared" si="4"/>
        <v>3446</v>
      </c>
      <c r="R26" s="106">
        <f t="shared" si="4"/>
        <v>3446</v>
      </c>
      <c r="S26" s="106">
        <f t="shared" si="4"/>
        <v>3446</v>
      </c>
      <c r="T26" s="106">
        <f t="shared" si="4"/>
        <v>4875</v>
      </c>
      <c r="U26" s="106">
        <f t="shared" si="4"/>
        <v>4875</v>
      </c>
      <c r="V26" s="106">
        <f t="shared" si="4"/>
        <v>4875</v>
      </c>
      <c r="W26" s="106">
        <f t="shared" si="4"/>
        <v>4875</v>
      </c>
      <c r="X26" s="106">
        <f t="shared" si="4"/>
        <v>4875</v>
      </c>
      <c r="Y26" s="106">
        <f t="shared" si="4"/>
        <v>4875</v>
      </c>
      <c r="Z26" s="100">
        <f t="shared" si="0"/>
        <v>73891.5</v>
      </c>
      <c r="AB26" s="48"/>
    </row>
    <row r="27" ht="15" customHeight="1">
      <c r="A27" s="96" t="s">
        <v>386</v>
      </c>
      <c r="B27" s="48">
        <f>B26</f>
        <v>1195</v>
      </c>
      <c r="C27" s="48">
        <f t="shared" si="5" ref="C27:Y27">B27+C26</f>
        <v>2390</v>
      </c>
      <c r="D27" s="48">
        <f t="shared" si="5"/>
        <v>3585</v>
      </c>
      <c r="E27" s="48">
        <f t="shared" si="5"/>
        <v>5244.5</v>
      </c>
      <c r="F27" s="48">
        <f t="shared" si="5"/>
        <v>6904</v>
      </c>
      <c r="G27" s="48">
        <f t="shared" si="5"/>
        <v>8563.5</v>
      </c>
      <c r="H27" s="48">
        <f t="shared" si="5"/>
        <v>11130.5</v>
      </c>
      <c r="I27" s="48">
        <f t="shared" si="5"/>
        <v>13697.5</v>
      </c>
      <c r="J27" s="48">
        <f t="shared" si="5"/>
        <v>16264.5</v>
      </c>
      <c r="K27" s="48">
        <f t="shared" si="5"/>
        <v>18831.5</v>
      </c>
      <c r="L27" s="48">
        <f t="shared" si="5"/>
        <v>21398.5</v>
      </c>
      <c r="M27" s="48">
        <f t="shared" si="5"/>
        <v>23965.5</v>
      </c>
      <c r="N27" s="48">
        <f t="shared" si="5"/>
        <v>27411.5</v>
      </c>
      <c r="O27" s="48">
        <f t="shared" si="5"/>
        <v>30857.5</v>
      </c>
      <c r="P27" s="48">
        <f t="shared" si="5"/>
        <v>34303.5</v>
      </c>
      <c r="Q27" s="48">
        <f t="shared" si="5"/>
        <v>37749.5</v>
      </c>
      <c r="R27" s="48">
        <f t="shared" si="5"/>
        <v>41195.5</v>
      </c>
      <c r="S27" s="48">
        <f t="shared" si="5"/>
        <v>44641.5</v>
      </c>
      <c r="T27" s="48">
        <f t="shared" si="5"/>
        <v>49516.5</v>
      </c>
      <c r="U27" s="48">
        <f t="shared" si="5"/>
        <v>54391.5</v>
      </c>
      <c r="V27" s="48">
        <f t="shared" si="5"/>
        <v>59266.5</v>
      </c>
      <c r="W27" s="48">
        <f t="shared" si="5"/>
        <v>64141.5</v>
      </c>
      <c r="X27" s="48">
        <f t="shared" si="5"/>
        <v>69016.5</v>
      </c>
      <c r="Y27" s="48">
        <f t="shared" si="5"/>
        <v>73891.5</v>
      </c>
      <c r="Z27" s="97">
        <f>Y27</f>
        <v>73891.5</v>
      </c>
      <c r="AB27" s="48"/>
    </row>
    <row r="28" ht="15.75" customHeight="1">
      <c r="Z28" s="48"/>
      <c r="AB28" s="48"/>
    </row>
    <row r="29" ht="15.75" customHeight="1">
      <c r="A29" s="107" t="s">
        <v>387</v>
      </c>
      <c r="Z29" s="48"/>
      <c r="AB29" s="48"/>
    </row>
    <row r="30" ht="16.5" customHeight="1">
      <c r="A30" s="96" t="s">
        <v>388</v>
      </c>
      <c r="B30" s="48">
        <f>'Revenue by Niche'!B88</f>
        <v>35623.27188</v>
      </c>
      <c r="C30" s="48">
        <f>'Revenue by Niche'!C88</f>
        <v>35623.27188</v>
      </c>
      <c r="D30" s="48">
        <f>'Revenue by Niche'!D88</f>
        <v>35623.27188</v>
      </c>
      <c r="E30" s="48">
        <f>'Revenue by Niche'!E88</f>
        <v>62498.972088</v>
      </c>
      <c r="F30" s="48">
        <f>'Revenue by Niche'!F88</f>
        <v>62498.972088</v>
      </c>
      <c r="G30" s="48">
        <f>'Revenue by Niche'!G88</f>
        <v>62498.972088</v>
      </c>
      <c r="H30" s="48">
        <f>'Revenue by Niche'!H88</f>
        <v>106869.81564</v>
      </c>
      <c r="I30" s="48">
        <f>'Revenue by Niche'!I88</f>
        <v>106869.81564</v>
      </c>
      <c r="J30" s="48">
        <f>'Revenue by Niche'!J88</f>
        <v>106869.81564</v>
      </c>
      <c r="K30" s="48">
        <f>'Revenue by Niche'!K88</f>
        <v>106869.81564</v>
      </c>
      <c r="L30" s="48">
        <f>'Revenue by Niche'!L88</f>
        <v>106869.81564</v>
      </c>
      <c r="M30" s="48">
        <f>'Revenue by Niche'!M88</f>
        <v>106869.81564</v>
      </c>
      <c r="N30" s="48">
        <f>'Revenue by Niche'!N88</f>
        <v>160304.72346</v>
      </c>
      <c r="O30" s="48">
        <f>'Revenue by Niche'!O88</f>
        <v>160304.72346</v>
      </c>
      <c r="P30" s="48">
        <f>'Revenue by Niche'!P88</f>
        <v>160304.72346</v>
      </c>
      <c r="Q30" s="48">
        <f>'Revenue by Niche'!Q88</f>
        <v>160304.72346</v>
      </c>
      <c r="R30" s="48">
        <f>'Revenue by Niche'!R88</f>
        <v>160304.72346</v>
      </c>
      <c r="S30" s="48">
        <f>'Revenue by Niche'!S88</f>
        <v>160304.72346</v>
      </c>
      <c r="T30" s="48">
        <f>'Revenue by Niche'!T88</f>
        <v>213739.63128</v>
      </c>
      <c r="U30" s="48">
        <f>'Revenue by Niche'!U88</f>
        <v>213739.63128</v>
      </c>
      <c r="V30" s="48">
        <f>'Revenue by Niche'!V88</f>
        <v>213739.63128</v>
      </c>
      <c r="W30" s="48">
        <f>'Revenue by Niche'!W88</f>
        <v>213739.63128</v>
      </c>
      <c r="X30" s="48">
        <f>'Revenue by Niche'!X88</f>
        <v>213739.63128</v>
      </c>
      <c r="Y30" s="48">
        <f>'Revenue by Niche'!Y88</f>
        <v>213739.63128</v>
      </c>
      <c r="Z30" s="97">
        <f t="shared" si="0"/>
        <v>3179851.754184</v>
      </c>
      <c r="AB30" s="48"/>
    </row>
    <row r="31" ht="16.5" customHeight="1">
      <c r="A31" s="96" t="s">
        <v>389</v>
      </c>
      <c r="B31" s="48">
        <f t="shared" si="6" ref="B31:Z31">B26</f>
        <v>1195</v>
      </c>
      <c r="C31" s="48">
        <f t="shared" si="6"/>
        <v>1195</v>
      </c>
      <c r="D31" s="48">
        <f t="shared" si="6"/>
        <v>1195</v>
      </c>
      <c r="E31" s="48">
        <f t="shared" si="6"/>
        <v>1659.5</v>
      </c>
      <c r="F31" s="48">
        <f t="shared" si="6"/>
        <v>1659.5</v>
      </c>
      <c r="G31" s="48">
        <f t="shared" si="6"/>
        <v>1659.5</v>
      </c>
      <c r="H31" s="48">
        <f t="shared" si="6"/>
        <v>2567</v>
      </c>
      <c r="I31" s="48">
        <f t="shared" si="6"/>
        <v>2567</v>
      </c>
      <c r="J31" s="48">
        <f t="shared" si="6"/>
        <v>2567</v>
      </c>
      <c r="K31" s="48">
        <f t="shared" si="6"/>
        <v>2567</v>
      </c>
      <c r="L31" s="48">
        <f t="shared" si="6"/>
        <v>2567</v>
      </c>
      <c r="M31" s="48">
        <f t="shared" si="6"/>
        <v>2567</v>
      </c>
      <c r="N31" s="48">
        <f t="shared" si="6"/>
        <v>3446</v>
      </c>
      <c r="O31" s="48">
        <f t="shared" si="6"/>
        <v>3446</v>
      </c>
      <c r="P31" s="48">
        <f t="shared" si="6"/>
        <v>3446</v>
      </c>
      <c r="Q31" s="48">
        <f t="shared" si="6"/>
        <v>3446</v>
      </c>
      <c r="R31" s="48">
        <f t="shared" si="6"/>
        <v>3446</v>
      </c>
      <c r="S31" s="48">
        <f t="shared" si="6"/>
        <v>3446</v>
      </c>
      <c r="T31" s="48">
        <f t="shared" si="6"/>
        <v>4875</v>
      </c>
      <c r="U31" s="48">
        <f t="shared" si="6"/>
        <v>4875</v>
      </c>
      <c r="V31" s="48">
        <f t="shared" si="6"/>
        <v>4875</v>
      </c>
      <c r="W31" s="48">
        <f t="shared" si="6"/>
        <v>4875</v>
      </c>
      <c r="X31" s="48">
        <f t="shared" si="6"/>
        <v>4875</v>
      </c>
      <c r="Y31" s="48">
        <f t="shared" si="6"/>
        <v>4875</v>
      </c>
      <c r="Z31" s="97">
        <f t="shared" si="6"/>
        <v>73891.5</v>
      </c>
      <c r="AB31" s="48"/>
    </row>
    <row r="32" ht="15" customHeight="1">
      <c r="A32" s="96" t="s">
        <v>390</v>
      </c>
      <c r="B32" s="108">
        <f t="shared" si="7" ref="B32:Z32">B30-B31</f>
        <v>34428.27188</v>
      </c>
      <c r="C32" s="108">
        <f t="shared" si="7"/>
        <v>34428.27188</v>
      </c>
      <c r="D32" s="108">
        <f t="shared" si="7"/>
        <v>34428.27188</v>
      </c>
      <c r="E32" s="108">
        <f t="shared" si="7"/>
        <v>60839.472088</v>
      </c>
      <c r="F32" s="108">
        <f t="shared" si="7"/>
        <v>60839.472088</v>
      </c>
      <c r="G32" s="108">
        <f t="shared" si="7"/>
        <v>60839.472088</v>
      </c>
      <c r="H32" s="108">
        <f t="shared" si="7"/>
        <v>104302.81564</v>
      </c>
      <c r="I32" s="108">
        <f t="shared" si="7"/>
        <v>104302.81564</v>
      </c>
      <c r="J32" s="108">
        <f t="shared" si="7"/>
        <v>104302.81564</v>
      </c>
      <c r="K32" s="108">
        <f t="shared" si="7"/>
        <v>104302.81564</v>
      </c>
      <c r="L32" s="108">
        <f t="shared" si="7"/>
        <v>104302.81564</v>
      </c>
      <c r="M32" s="108">
        <f t="shared" si="7"/>
        <v>104302.81564</v>
      </c>
      <c r="N32" s="108">
        <f t="shared" si="7"/>
        <v>156858.72346</v>
      </c>
      <c r="O32" s="108">
        <f t="shared" si="7"/>
        <v>156858.72346</v>
      </c>
      <c r="P32" s="108">
        <f t="shared" si="7"/>
        <v>156858.72346</v>
      </c>
      <c r="Q32" s="108">
        <f t="shared" si="7"/>
        <v>156858.72346</v>
      </c>
      <c r="R32" s="108">
        <f t="shared" si="7"/>
        <v>156858.72346</v>
      </c>
      <c r="S32" s="108">
        <f t="shared" si="7"/>
        <v>156858.72346</v>
      </c>
      <c r="T32" s="108">
        <f t="shared" si="7"/>
        <v>208864.63128</v>
      </c>
      <c r="U32" s="108">
        <f t="shared" si="7"/>
        <v>208864.63128</v>
      </c>
      <c r="V32" s="108">
        <f t="shared" si="7"/>
        <v>208864.63128</v>
      </c>
      <c r="W32" s="108">
        <f t="shared" si="7"/>
        <v>208864.63128</v>
      </c>
      <c r="X32" s="108">
        <f t="shared" si="7"/>
        <v>208864.63128</v>
      </c>
      <c r="Y32" s="108">
        <f t="shared" si="7"/>
        <v>208864.63128</v>
      </c>
      <c r="Z32" s="109">
        <f t="shared" si="7"/>
        <v>3105960.254184</v>
      </c>
      <c r="AB32" s="48"/>
    </row>
    <row r="33" ht="15" customHeight="1">
      <c r="A33" s="110" t="s">
        <v>391</v>
      </c>
      <c r="B33" s="111">
        <f t="shared" si="8" ref="B33:Z33">IF(B30=0,0,B32/B30)</f>
        <v>0.966454513105212</v>
      </c>
      <c r="C33" s="111">
        <f t="shared" si="8"/>
        <v>0.966454513105212</v>
      </c>
      <c r="D33" s="111">
        <f t="shared" si="8"/>
        <v>0.966454513105212</v>
      </c>
      <c r="E33" s="111">
        <f t="shared" si="8"/>
        <v>0.973447563302907</v>
      </c>
      <c r="F33" s="111">
        <f t="shared" si="8"/>
        <v>0.973447563302907</v>
      </c>
      <c r="G33" s="111">
        <f t="shared" si="8"/>
        <v>0.973447563302907</v>
      </c>
      <c r="H33" s="111">
        <f t="shared" si="8"/>
        <v>0.975980121378265</v>
      </c>
      <c r="I33" s="111">
        <f t="shared" si="8"/>
        <v>0.975980121378265</v>
      </c>
      <c r="J33" s="111">
        <f t="shared" si="8"/>
        <v>0.975980121378265</v>
      </c>
      <c r="K33" s="111">
        <f t="shared" si="8"/>
        <v>0.975980121378265</v>
      </c>
      <c r="L33" s="111">
        <f t="shared" si="8"/>
        <v>0.975980121378265</v>
      </c>
      <c r="M33" s="111">
        <f t="shared" si="8"/>
        <v>0.975980121378265</v>
      </c>
      <c r="N33" s="111">
        <f t="shared" si="8"/>
        <v>0.978503440662122</v>
      </c>
      <c r="O33" s="111">
        <f t="shared" si="8"/>
        <v>0.978503440662122</v>
      </c>
      <c r="P33" s="111">
        <f t="shared" si="8"/>
        <v>0.978503440662122</v>
      </c>
      <c r="Q33" s="111">
        <f t="shared" si="8"/>
        <v>0.978503440662122</v>
      </c>
      <c r="R33" s="111">
        <f t="shared" si="8"/>
        <v>0.978503440662122</v>
      </c>
      <c r="S33" s="111">
        <f t="shared" si="8"/>
        <v>0.978503440662122</v>
      </c>
      <c r="T33" s="111">
        <f t="shared" si="8"/>
        <v>0.977191876065259</v>
      </c>
      <c r="U33" s="111">
        <f t="shared" si="8"/>
        <v>0.977191876065259</v>
      </c>
      <c r="V33" s="111">
        <f t="shared" si="8"/>
        <v>0.977191876065259</v>
      </c>
      <c r="W33" s="111">
        <f t="shared" si="8"/>
        <v>0.977191876065259</v>
      </c>
      <c r="X33" s="111">
        <f t="shared" si="8"/>
        <v>0.977191876065259</v>
      </c>
      <c r="Y33" s="111">
        <f t="shared" si="8"/>
        <v>0.977191876065259</v>
      </c>
      <c r="Z33" s="112">
        <f t="shared" si="8"/>
        <v>0.976762595959772</v>
      </c>
      <c r="AB33" s="48"/>
    </row>
    <row r="34" ht="15" customHeight="1">
      <c r="A34" s="96" t="s">
        <v>392</v>
      </c>
      <c r="B34" s="113">
        <f>IF('Accounts &amp; Traffic'!B14=0,0,B31/'Accounts &amp; Traffic'!B14)</f>
        <v>5.975</v>
      </c>
      <c r="C34" s="113">
        <f>IF('Accounts &amp; Traffic'!C14=0,0,C31/'Accounts &amp; Traffic'!C14)</f>
        <v>5.975</v>
      </c>
      <c r="D34" s="113">
        <f>IF('Accounts &amp; Traffic'!D14=0,0,D31/'Accounts &amp; Traffic'!D14)</f>
        <v>5.975</v>
      </c>
      <c r="E34" s="114">
        <f>IF('Accounts &amp; Traffic'!E14=0,0,E31/'Accounts &amp; Traffic'!E14)</f>
        <v>4.74142857142857</v>
      </c>
      <c r="F34" s="114">
        <f>IF('Accounts &amp; Traffic'!F14=0,0,F31/'Accounts &amp; Traffic'!F14)</f>
        <v>4.74142857142857</v>
      </c>
      <c r="G34" s="114">
        <f>IF('Accounts &amp; Traffic'!G14=0,0,G31/'Accounts &amp; Traffic'!G14)</f>
        <v>4.74142857142857</v>
      </c>
      <c r="H34" s="114">
        <f>IF('Accounts &amp; Traffic'!H14=0,0,H31/'Accounts &amp; Traffic'!H14)</f>
        <v>4.27833333333333</v>
      </c>
      <c r="I34" s="114">
        <f>IF('Accounts &amp; Traffic'!I14=0,0,I31/'Accounts &amp; Traffic'!I14)</f>
        <v>4.27833333333333</v>
      </c>
      <c r="J34" s="114">
        <f>IF('Accounts &amp; Traffic'!J14=0,0,J31/'Accounts &amp; Traffic'!J14)</f>
        <v>4.27833333333333</v>
      </c>
      <c r="K34" s="114">
        <f>IF('Accounts &amp; Traffic'!K14=0,0,K31/'Accounts &amp; Traffic'!K14)</f>
        <v>4.27833333333333</v>
      </c>
      <c r="L34" s="114">
        <f>IF('Accounts &amp; Traffic'!L14=0,0,L31/'Accounts &amp; Traffic'!L14)</f>
        <v>4.27833333333333</v>
      </c>
      <c r="M34" s="114">
        <f>IF('Accounts &amp; Traffic'!M14=0,0,M31/'Accounts &amp; Traffic'!M14)</f>
        <v>4.27833333333333</v>
      </c>
      <c r="N34" s="114">
        <f>IF('Accounts &amp; Traffic'!N14=0,0,N31/'Accounts &amp; Traffic'!N14)</f>
        <v>3.82888888888889</v>
      </c>
      <c r="O34" s="114">
        <f>IF('Accounts &amp; Traffic'!O14=0,0,O31/'Accounts &amp; Traffic'!O14)</f>
        <v>3.82888888888889</v>
      </c>
      <c r="P34" s="114">
        <f>IF('Accounts &amp; Traffic'!P14=0,0,P31/'Accounts &amp; Traffic'!P14)</f>
        <v>3.82888888888889</v>
      </c>
      <c r="Q34" s="114">
        <f>IF('Accounts &amp; Traffic'!Q14=0,0,Q31/'Accounts &amp; Traffic'!Q14)</f>
        <v>3.82888888888889</v>
      </c>
      <c r="R34" s="114">
        <f>IF('Accounts &amp; Traffic'!R14=0,0,R31/'Accounts &amp; Traffic'!R14)</f>
        <v>3.82888888888889</v>
      </c>
      <c r="S34" s="114">
        <f>IF('Accounts &amp; Traffic'!S14=0,0,S31/'Accounts &amp; Traffic'!S14)</f>
        <v>3.82888888888889</v>
      </c>
      <c r="T34" s="113">
        <f>IF('Accounts &amp; Traffic'!T14=0,0,T31/'Accounts &amp; Traffic'!T14)</f>
        <v>4.0625</v>
      </c>
      <c r="U34" s="113">
        <f>IF('Accounts &amp; Traffic'!U14=0,0,U31/'Accounts &amp; Traffic'!U14)</f>
        <v>4.0625</v>
      </c>
      <c r="V34" s="113">
        <f>IF('Accounts &amp; Traffic'!V14=0,0,V31/'Accounts &amp; Traffic'!V14)</f>
        <v>4.0625</v>
      </c>
      <c r="W34" s="113">
        <f>IF('Accounts &amp; Traffic'!W14=0,0,W31/'Accounts &amp; Traffic'!W14)</f>
        <v>4.0625</v>
      </c>
      <c r="X34" s="113">
        <f>IF('Accounts &amp; Traffic'!X14=0,0,X31/'Accounts &amp; Traffic'!X14)</f>
        <v>4.0625</v>
      </c>
      <c r="Y34" s="113">
        <f>IF('Accounts &amp; Traffic'!Y14=0,0,Y31/'Accounts &amp; Traffic'!Y14)</f>
        <v>4.0625</v>
      </c>
      <c r="Z34" s="115">
        <f>IF(SUM('Accounts &amp; Traffic'!B14:Y14)=0,0,Z31/SUM('Accounts &amp; Traffic'!B14:Y14))</f>
        <v>4.13957983193277</v>
      </c>
      <c r="AB34" s="48"/>
    </row>
    <row r="35" ht="15" customHeight="1">
      <c r="A35" s="96" t="s">
        <v>393</v>
      </c>
      <c r="B35" s="17">
        <f t="shared" si="9" ref="B35:Z35">IF(B30=0,0,B31/B30)</f>
        <v>0.0335454868947877</v>
      </c>
      <c r="C35" s="17">
        <f t="shared" si="9"/>
        <v>0.0335454868947877</v>
      </c>
      <c r="D35" s="17">
        <f t="shared" si="9"/>
        <v>0.0335454868947877</v>
      </c>
      <c r="E35" s="17">
        <f t="shared" si="9"/>
        <v>0.026552436697093</v>
      </c>
      <c r="F35" s="17">
        <f t="shared" si="9"/>
        <v>0.026552436697093</v>
      </c>
      <c r="G35" s="17">
        <f t="shared" si="9"/>
        <v>0.026552436697093</v>
      </c>
      <c r="H35" s="17">
        <f t="shared" si="9"/>
        <v>0.024019878621735</v>
      </c>
      <c r="I35" s="17">
        <f t="shared" si="9"/>
        <v>0.024019878621735</v>
      </c>
      <c r="J35" s="17">
        <f t="shared" si="9"/>
        <v>0.024019878621735</v>
      </c>
      <c r="K35" s="17">
        <f t="shared" si="9"/>
        <v>0.024019878621735</v>
      </c>
      <c r="L35" s="17">
        <f t="shared" si="9"/>
        <v>0.024019878621735</v>
      </c>
      <c r="M35" s="17">
        <f t="shared" si="9"/>
        <v>0.024019878621735</v>
      </c>
      <c r="N35" s="17">
        <f t="shared" si="9"/>
        <v>0.0214965593378779</v>
      </c>
      <c r="O35" s="17">
        <f t="shared" si="9"/>
        <v>0.0214965593378779</v>
      </c>
      <c r="P35" s="17">
        <f t="shared" si="9"/>
        <v>0.0214965593378779</v>
      </c>
      <c r="Q35" s="17">
        <f t="shared" si="9"/>
        <v>0.0214965593378779</v>
      </c>
      <c r="R35" s="17">
        <f t="shared" si="9"/>
        <v>0.0214965593378779</v>
      </c>
      <c r="S35" s="17">
        <f t="shared" si="9"/>
        <v>0.0214965593378779</v>
      </c>
      <c r="T35" s="17">
        <f t="shared" si="9"/>
        <v>0.0228081239347406</v>
      </c>
      <c r="U35" s="17">
        <f t="shared" si="9"/>
        <v>0.0228081239347406</v>
      </c>
      <c r="V35" s="17">
        <f t="shared" si="9"/>
        <v>0.0228081239347406</v>
      </c>
      <c r="W35" s="17">
        <f t="shared" si="9"/>
        <v>0.0228081239347406</v>
      </c>
      <c r="X35" s="17">
        <f t="shared" si="9"/>
        <v>0.0228081239347406</v>
      </c>
      <c r="Y35" s="17">
        <f t="shared" si="9"/>
        <v>0.0228081239347406</v>
      </c>
      <c r="Z35" s="116">
        <f t="shared" si="9"/>
        <v>0.0232374040402276</v>
      </c>
      <c r="AB35" s="48"/>
    </row>
    <row r="36" ht="15" customHeight="1">
      <c r="AB36" s="48"/>
    </row>
    <row r="37" ht="15" customHeight="1">
      <c r="AB37" s="48"/>
    </row>
    <row r="38" ht="15.75" customHeight="1">
      <c r="A38" s="117" t="s">
        <v>394</v>
      </c>
      <c r="AB38" s="48"/>
    </row>
    <row r="39" ht="15" customHeight="1">
      <c r="A39" s="96" t="s">
        <v>263</v>
      </c>
      <c r="B39" s="118">
        <f>Assumptions!$B$93</f>
        <v>0.75</v>
      </c>
      <c r="C39" s="17">
        <f>Assumptions!$B$93</f>
        <v>0.75</v>
      </c>
      <c r="D39" s="17">
        <f>Assumptions!$B$93</f>
        <v>0.75</v>
      </c>
      <c r="E39" s="17">
        <f>Assumptions!$B$93</f>
        <v>0.75</v>
      </c>
      <c r="F39" s="17">
        <f>Assumptions!$B$93</f>
        <v>0.75</v>
      </c>
      <c r="G39" s="17">
        <f>Assumptions!$B$93</f>
        <v>0.75</v>
      </c>
      <c r="H39" s="17">
        <f>Assumptions!$B$93</f>
        <v>0.75</v>
      </c>
      <c r="I39" s="17">
        <f>Assumptions!$B$93</f>
        <v>0.75</v>
      </c>
      <c r="J39" s="17">
        <f>Assumptions!$B$93</f>
        <v>0.75</v>
      </c>
      <c r="K39" s="17">
        <f>Assumptions!$B$93</f>
        <v>0.75</v>
      </c>
      <c r="L39" s="17">
        <f>Assumptions!$B$93</f>
        <v>0.75</v>
      </c>
      <c r="M39" s="17">
        <f>Assumptions!$B$93</f>
        <v>0.75</v>
      </c>
      <c r="N39" s="17">
        <f>Assumptions!$B$93</f>
        <v>0.75</v>
      </c>
      <c r="O39" s="17">
        <f>Assumptions!$B$93</f>
        <v>0.75</v>
      </c>
      <c r="P39" s="17">
        <f>Assumptions!$B$93</f>
        <v>0.75</v>
      </c>
      <c r="Q39" s="17">
        <f>Assumptions!$B$93</f>
        <v>0.75</v>
      </c>
      <c r="R39" s="17">
        <f>Assumptions!$B$93</f>
        <v>0.75</v>
      </c>
      <c r="S39" s="17">
        <f>Assumptions!$B$93</f>
        <v>0.75</v>
      </c>
      <c r="T39" s="17">
        <f>Assumptions!$B$93</f>
        <v>0.75</v>
      </c>
      <c r="U39" s="17">
        <f>Assumptions!$B$93</f>
        <v>0.75</v>
      </c>
      <c r="V39" s="17">
        <f>Assumptions!$B$93</f>
        <v>0.75</v>
      </c>
      <c r="W39" s="17">
        <f>Assumptions!$B$93</f>
        <v>0.75</v>
      </c>
      <c r="X39" s="17">
        <f>Assumptions!$B$93</f>
        <v>0.75</v>
      </c>
      <c r="Y39" s="17">
        <f>Assumptions!$B$93</f>
        <v>0.75</v>
      </c>
      <c r="Z39" s="116">
        <f>Assumptions!$B$93</f>
        <v>0.75</v>
      </c>
      <c r="AB39" s="48"/>
    </row>
    <row r="40" ht="15" customHeight="1">
      <c r="A40" s="96" t="s">
        <v>395</v>
      </c>
      <c r="B40" s="37">
        <f t="shared" si="10" ref="B40:Z40">B33</f>
        <v>0.966454513105212</v>
      </c>
      <c r="C40" s="37">
        <f t="shared" si="10"/>
        <v>0.966454513105212</v>
      </c>
      <c r="D40" s="37">
        <f t="shared" si="10"/>
        <v>0.966454513105212</v>
      </c>
      <c r="E40" s="37">
        <f t="shared" si="10"/>
        <v>0.973447563302907</v>
      </c>
      <c r="F40" s="37">
        <f t="shared" si="10"/>
        <v>0.973447563302907</v>
      </c>
      <c r="G40" s="37">
        <f t="shared" si="10"/>
        <v>0.973447563302907</v>
      </c>
      <c r="H40" s="37">
        <f t="shared" si="10"/>
        <v>0.975980121378265</v>
      </c>
      <c r="I40" s="37">
        <f t="shared" si="10"/>
        <v>0.975980121378265</v>
      </c>
      <c r="J40" s="37">
        <f t="shared" si="10"/>
        <v>0.975980121378265</v>
      </c>
      <c r="K40" s="37">
        <f t="shared" si="10"/>
        <v>0.975980121378265</v>
      </c>
      <c r="L40" s="37">
        <f t="shared" si="10"/>
        <v>0.975980121378265</v>
      </c>
      <c r="M40" s="37">
        <f t="shared" si="10"/>
        <v>0.975980121378265</v>
      </c>
      <c r="N40" s="37">
        <f t="shared" si="10"/>
        <v>0.978503440662122</v>
      </c>
      <c r="O40" s="37">
        <f t="shared" si="10"/>
        <v>0.978503440662122</v>
      </c>
      <c r="P40" s="37">
        <f t="shared" si="10"/>
        <v>0.978503440662122</v>
      </c>
      <c r="Q40" s="37">
        <f t="shared" si="10"/>
        <v>0.978503440662122</v>
      </c>
      <c r="R40" s="37">
        <f t="shared" si="10"/>
        <v>0.978503440662122</v>
      </c>
      <c r="S40" s="37">
        <f t="shared" si="10"/>
        <v>0.978503440662122</v>
      </c>
      <c r="T40" s="37">
        <f t="shared" si="10"/>
        <v>0.977191876065259</v>
      </c>
      <c r="U40" s="37">
        <f t="shared" si="10"/>
        <v>0.977191876065259</v>
      </c>
      <c r="V40" s="37">
        <f t="shared" si="10"/>
        <v>0.977191876065259</v>
      </c>
      <c r="W40" s="37">
        <f t="shared" si="10"/>
        <v>0.977191876065259</v>
      </c>
      <c r="X40" s="37">
        <f t="shared" si="10"/>
        <v>0.977191876065259</v>
      </c>
      <c r="Y40" s="37">
        <f t="shared" si="10"/>
        <v>0.977191876065259</v>
      </c>
      <c r="Z40" s="119">
        <f t="shared" si="10"/>
        <v>0.976762595959772</v>
      </c>
      <c r="AB40" s="48"/>
    </row>
    <row r="41" ht="15" customHeight="1">
      <c r="A41" s="96" t="s">
        <v>396</v>
      </c>
      <c r="B41" s="37">
        <f t="shared" si="11" ref="B41:Z41">B40-B39</f>
        <v>0.216454513105212</v>
      </c>
      <c r="C41" s="37">
        <f t="shared" si="11"/>
        <v>0.216454513105212</v>
      </c>
      <c r="D41" s="37">
        <f t="shared" si="11"/>
        <v>0.216454513105212</v>
      </c>
      <c r="E41" s="37">
        <f t="shared" si="11"/>
        <v>0.223447563302907</v>
      </c>
      <c r="F41" s="37">
        <f t="shared" si="11"/>
        <v>0.223447563302907</v>
      </c>
      <c r="G41" s="37">
        <f t="shared" si="11"/>
        <v>0.223447563302907</v>
      </c>
      <c r="H41" s="37">
        <f t="shared" si="11"/>
        <v>0.225980121378265</v>
      </c>
      <c r="I41" s="37">
        <f t="shared" si="11"/>
        <v>0.225980121378265</v>
      </c>
      <c r="J41" s="37">
        <f t="shared" si="11"/>
        <v>0.225980121378265</v>
      </c>
      <c r="K41" s="37">
        <f t="shared" si="11"/>
        <v>0.225980121378265</v>
      </c>
      <c r="L41" s="37">
        <f t="shared" si="11"/>
        <v>0.225980121378265</v>
      </c>
      <c r="M41" s="37">
        <f t="shared" si="11"/>
        <v>0.225980121378265</v>
      </c>
      <c r="N41" s="37">
        <f t="shared" si="11"/>
        <v>0.228503440662122</v>
      </c>
      <c r="O41" s="37">
        <f t="shared" si="11"/>
        <v>0.228503440662122</v>
      </c>
      <c r="P41" s="37">
        <f t="shared" si="11"/>
        <v>0.228503440662122</v>
      </c>
      <c r="Q41" s="37">
        <f t="shared" si="11"/>
        <v>0.228503440662122</v>
      </c>
      <c r="R41" s="37">
        <f t="shared" si="11"/>
        <v>0.228503440662122</v>
      </c>
      <c r="S41" s="37">
        <f t="shared" si="11"/>
        <v>0.228503440662122</v>
      </c>
      <c r="T41" s="37">
        <f t="shared" si="11"/>
        <v>0.227191876065259</v>
      </c>
      <c r="U41" s="37">
        <f t="shared" si="11"/>
        <v>0.227191876065259</v>
      </c>
      <c r="V41" s="37">
        <f t="shared" si="11"/>
        <v>0.227191876065259</v>
      </c>
      <c r="W41" s="37">
        <f t="shared" si="11"/>
        <v>0.227191876065259</v>
      </c>
      <c r="X41" s="37">
        <f t="shared" si="11"/>
        <v>0.227191876065259</v>
      </c>
      <c r="Y41" s="37">
        <f t="shared" si="11"/>
        <v>0.227191876065259</v>
      </c>
      <c r="Z41" s="119">
        <f t="shared" si="11"/>
        <v>0.226762595959772</v>
      </c>
      <c r="AB41" s="48"/>
    </row>
    <row r="42" ht="15" customHeight="1">
      <c r="A42" s="96" t="s">
        <v>397</v>
      </c>
      <c r="B42" s="15" t="str">
        <f t="shared" si="12" ref="B42:Z42">IF(B41&gt;=0,"✓ On/Above Target","⚠ Below Target")</f>
        <v>✓ On/Above Target</v>
      </c>
      <c r="C42" s="15" t="str">
        <f t="shared" si="12"/>
        <v>✓ On/Above Target</v>
      </c>
      <c r="D42" s="15" t="str">
        <f t="shared" si="12"/>
        <v>✓ On/Above Target</v>
      </c>
      <c r="E42" s="15" t="str">
        <f t="shared" si="12"/>
        <v>✓ On/Above Target</v>
      </c>
      <c r="F42" s="15" t="str">
        <f t="shared" si="12"/>
        <v>✓ On/Above Target</v>
      </c>
      <c r="G42" s="15" t="str">
        <f t="shared" si="12"/>
        <v>✓ On/Above Target</v>
      </c>
      <c r="H42" s="15" t="str">
        <f t="shared" si="12"/>
        <v>✓ On/Above Target</v>
      </c>
      <c r="I42" s="15" t="str">
        <f t="shared" si="12"/>
        <v>✓ On/Above Target</v>
      </c>
      <c r="J42" s="15" t="str">
        <f t="shared" si="12"/>
        <v>✓ On/Above Target</v>
      </c>
      <c r="K42" s="15" t="str">
        <f t="shared" si="12"/>
        <v>✓ On/Above Target</v>
      </c>
      <c r="L42" s="15" t="str">
        <f t="shared" si="12"/>
        <v>✓ On/Above Target</v>
      </c>
      <c r="M42" s="15" t="str">
        <f t="shared" si="12"/>
        <v>✓ On/Above Target</v>
      </c>
      <c r="N42" s="15" t="str">
        <f t="shared" si="12"/>
        <v>✓ On/Above Target</v>
      </c>
      <c r="O42" s="15" t="str">
        <f t="shared" si="12"/>
        <v>✓ On/Above Target</v>
      </c>
      <c r="P42" s="15" t="str">
        <f t="shared" si="12"/>
        <v>✓ On/Above Target</v>
      </c>
      <c r="Q42" s="15" t="str">
        <f t="shared" si="12"/>
        <v>✓ On/Above Target</v>
      </c>
      <c r="R42" s="15" t="str">
        <f t="shared" si="12"/>
        <v>✓ On/Above Target</v>
      </c>
      <c r="S42" s="15" t="str">
        <f t="shared" si="12"/>
        <v>✓ On/Above Target</v>
      </c>
      <c r="T42" s="15" t="str">
        <f t="shared" si="12"/>
        <v>✓ On/Above Target</v>
      </c>
      <c r="U42" s="15" t="str">
        <f t="shared" si="12"/>
        <v>✓ On/Above Target</v>
      </c>
      <c r="V42" s="15" t="str">
        <f t="shared" si="12"/>
        <v>✓ On/Above Target</v>
      </c>
      <c r="W42" s="15" t="str">
        <f t="shared" si="12"/>
        <v>✓ On/Above Target</v>
      </c>
      <c r="X42" s="15" t="str">
        <f t="shared" si="12"/>
        <v>✓ On/Above Target</v>
      </c>
      <c r="Y42" s="15" t="str">
        <f t="shared" si="12"/>
        <v>✓ On/Above Target</v>
      </c>
      <c r="Z42" s="120" t="str">
        <f t="shared" si="12"/>
        <v>✓ On/Above Target</v>
      </c>
      <c r="AB42" s="48"/>
    </row>
    <row r="44" ht="15" customHeight="1">
      <c r="A44" s="121" t="s">
        <v>399</v>
      </c>
    </row>
  </sheetData>
  <mergeCells>
    <mergeCell ref="A21:Y21"/>
    <mergeCell ref="A28:Y28"/>
    <mergeCell ref="AA4:AB4"/>
    <mergeCell ref="A1:Z1"/>
    <mergeCell ref="A2:Z2"/>
    <mergeCell ref="A5:Z5"/>
    <mergeCell ref="A17:Z17"/>
    <mergeCell ref="A25:Z25"/>
    <mergeCell ref="A29:Z29"/>
    <mergeCell ref="A38:Z38"/>
    <mergeCell ref="A44:Z44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B98D52E-C688-8401-0148-83843FD87337}" mc:Ignorable="x14ac xr xr2 xr3">
  <dimension ref="A1:GR1000"/>
  <sheetViews>
    <sheetView workbookViewId="0">
      <pane xSplit="1" ySplit="4" topLeftCell="R5" activePane="bottomRight" state="frozen"/>
      <selection pane="bottomLeft" activeCell="A5" sqref="A5"/>
      <selection pane="topRight" activeCell="B1" sqref="B1"/>
      <selection pane="bottomRight" activeCell="A1" sqref="A1:Z1"/>
    </sheetView>
  </sheetViews>
  <sheetFormatPr defaultRowHeight="15" defaultColWidth="8.8515625" customHeight="1"/>
  <cols>
    <col min="1" max="1" width="40.00390625" customWidth="1"/>
    <col min="2" max="25" width="12.140625" customWidth="1"/>
    <col min="26" max="26" width="18.57421875" customWidth="1"/>
    <col min="27" max="27" width="31.421875" customWidth="1"/>
    <col min="28" max="28" width="17.140625" customWidth="1"/>
  </cols>
  <sheetData>
    <row r="1" ht="18.75" customHeight="1">
      <c r="A1" s="68" t="s">
        <v>400</v>
      </c>
    </row>
    <row r="2" ht="15.75" customHeight="1">
      <c r="A2" s="91" t="s">
        <v>401</v>
      </c>
    </row>
    <row r="4" ht="15.75" customHeight="1">
      <c r="A4" s="92" t="s">
        <v>402</v>
      </c>
      <c r="B4" s="92" t="s">
        <v>270</v>
      </c>
      <c r="C4" s="92" t="s">
        <v>271</v>
      </c>
      <c r="D4" s="92" t="s">
        <v>272</v>
      </c>
      <c r="E4" s="92" t="s">
        <v>15</v>
      </c>
      <c r="F4" s="92" t="s">
        <v>273</v>
      </c>
      <c r="G4" s="92" t="s">
        <v>274</v>
      </c>
      <c r="H4" s="92" t="s">
        <v>275</v>
      </c>
      <c r="I4" s="92" t="s">
        <v>276</v>
      </c>
      <c r="J4" s="92" t="s">
        <v>277</v>
      </c>
      <c r="K4" s="92" t="s">
        <v>278</v>
      </c>
      <c r="L4" s="92" t="s">
        <v>279</v>
      </c>
      <c r="M4" s="92" t="s">
        <v>280</v>
      </c>
      <c r="N4" s="92" t="s">
        <v>281</v>
      </c>
      <c r="O4" s="92" t="s">
        <v>282</v>
      </c>
      <c r="P4" s="92" t="s">
        <v>283</v>
      </c>
      <c r="Q4" s="92" t="s">
        <v>284</v>
      </c>
      <c r="R4" s="92" t="s">
        <v>285</v>
      </c>
      <c r="S4" s="92" t="s">
        <v>286</v>
      </c>
      <c r="T4" s="92" t="s">
        <v>287</v>
      </c>
      <c r="U4" s="92" t="s">
        <v>288</v>
      </c>
      <c r="V4" s="92" t="s">
        <v>289</v>
      </c>
      <c r="W4" s="92" t="s">
        <v>290</v>
      </c>
      <c r="X4" s="92" t="s">
        <v>291</v>
      </c>
      <c r="Y4" s="92" t="s">
        <v>292</v>
      </c>
      <c r="Z4" s="92" t="s">
        <v>340</v>
      </c>
      <c r="AA4" s="122"/>
    </row>
    <row r="5" ht="15.75" customHeight="1">
      <c r="A5" s="123" t="s">
        <v>403</v>
      </c>
      <c r="AA5" s="124"/>
      <c r="AB5" s="125">
        <f>SUM(B17:Y17)</f>
        <v>467370</v>
      </c>
    </row>
    <row r="6" ht="15" customHeight="1">
      <c r="A6" s="96" t="s">
        <v>216</v>
      </c>
      <c r="B6" s="48">
        <f>IF(1&gt;=Assumptions!$C$48,Assumptions!$B$48*Assumptions!$B$59,0)</f>
        <v>4050</v>
      </c>
      <c r="C6" s="48">
        <f>IF(2&gt;=Assumptions!$C$48,Assumptions!$B$48*Assumptions!$B$59,0)</f>
        <v>4050</v>
      </c>
      <c r="D6" s="48">
        <f>IF(3&gt;=Assumptions!$C$48,Assumptions!$B$48*Assumptions!$B$59,0)</f>
        <v>4050</v>
      </c>
      <c r="E6" s="48">
        <f>IF(4&gt;=Assumptions!$C$48,Assumptions!$B$48*Assumptions!$B$59,0)</f>
        <v>4050</v>
      </c>
      <c r="F6" s="48">
        <f>IF(5&gt;=Assumptions!$C$48,Assumptions!$B$48*Assumptions!$B$59,0)</f>
        <v>4050</v>
      </c>
      <c r="G6" s="48">
        <f>IF(6&gt;=Assumptions!$C$48,Assumptions!$B$48*Assumptions!$B$59,0)</f>
        <v>4050</v>
      </c>
      <c r="H6" s="48">
        <f>IF(7&gt;=Assumptions!$C$48,Assumptions!$B$48*Assumptions!$B$59,0)</f>
        <v>4050</v>
      </c>
      <c r="I6" s="48">
        <f>IF(8&gt;=Assumptions!$C$48,Assumptions!$B$48*Assumptions!$B$59,0)</f>
        <v>4050</v>
      </c>
      <c r="J6" s="48">
        <f>IF(9&gt;=Assumptions!$C$48,Assumptions!$B$48*Assumptions!$B$59,0)</f>
        <v>4050</v>
      </c>
      <c r="K6" s="48">
        <f>IF(10&gt;=Assumptions!$C$48,Assumptions!$B$48*Assumptions!$B$59,0)</f>
        <v>4050</v>
      </c>
      <c r="L6" s="48">
        <f>IF(11&gt;=Assumptions!$C$48,Assumptions!$B$48*Assumptions!$B$59,0)</f>
        <v>4050</v>
      </c>
      <c r="M6" s="48">
        <f>IF(12&gt;=Assumptions!$C$48,Assumptions!$B$48*Assumptions!$B$59,0)</f>
        <v>4050</v>
      </c>
      <c r="N6" s="48">
        <f>IF(13&gt;=Assumptions!$C$48,Assumptions!$B$48*Assumptions!$B$59,0)</f>
        <v>4050</v>
      </c>
      <c r="O6" s="48">
        <f>IF(14&gt;=Assumptions!$C$48,Assumptions!$B$48*Assumptions!$B$59,0)</f>
        <v>4050</v>
      </c>
      <c r="P6" s="48">
        <f>IF(15&gt;=Assumptions!$C$48,Assumptions!$B$48*Assumptions!$B$59,0)</f>
        <v>4050</v>
      </c>
      <c r="Q6" s="48">
        <f>IF(16&gt;=Assumptions!$C$48,Assumptions!$B$48*Assumptions!$B$59,0)</f>
        <v>4050</v>
      </c>
      <c r="R6" s="48">
        <f>IF(17&gt;=Assumptions!$C$48,Assumptions!$B$48*Assumptions!$B$59,0)</f>
        <v>4050</v>
      </c>
      <c r="S6" s="48">
        <f>IF(18&gt;=Assumptions!$C$48,Assumptions!$B$48*Assumptions!$B$59,0)</f>
        <v>4050</v>
      </c>
      <c r="T6" s="48">
        <f>IF(19&gt;=Assumptions!$C$48,Assumptions!$B$48*Assumptions!$B$59,0)</f>
        <v>4050</v>
      </c>
      <c r="U6" s="48">
        <f>IF(20&gt;=Assumptions!$C$48,Assumptions!$B$48*Assumptions!$B$59,0)</f>
        <v>4050</v>
      </c>
      <c r="V6" s="48">
        <f>IF(21&gt;=Assumptions!$C$48,Assumptions!$B$48*Assumptions!$B$59,0)</f>
        <v>4050</v>
      </c>
      <c r="W6" s="48">
        <f>IF(22&gt;=Assumptions!$C$48,Assumptions!$B$48*Assumptions!$B$59,0)</f>
        <v>4050</v>
      </c>
      <c r="X6" s="48">
        <f>IF(23&gt;=Assumptions!$C$48,Assumptions!$B$48*Assumptions!$B$59,0)</f>
        <v>4050</v>
      </c>
      <c r="Y6" s="48">
        <f>IF(24&gt;=Assumptions!$C$48,Assumptions!$B$48*Assumptions!$B$59,0)</f>
        <v>4050</v>
      </c>
      <c r="Z6" s="97">
        <f t="shared" si="0" ref="Z6:Z31">SUM(B6:Y6)</f>
        <v>97200</v>
      </c>
      <c r="AA6" s="124"/>
      <c r="AB6" s="125">
        <f>SUM(B31:Y31)</f>
        <v>845355.1754184</v>
      </c>
    </row>
    <row r="7" ht="15" customHeight="1">
      <c r="A7" s="96" t="s">
        <v>218</v>
      </c>
      <c r="B7" s="48">
        <f>IF(1&gt;=Assumptions!$C$49,Assumptions!$B$49*Assumptions!$B$59,0)</f>
        <v>3375</v>
      </c>
      <c r="C7" s="48">
        <f>IF(2&gt;=Assumptions!$C$49,Assumptions!$B$49*Assumptions!$B$59,0)</f>
        <v>3375</v>
      </c>
      <c r="D7" s="48">
        <f>IF(3&gt;=Assumptions!$C$49,Assumptions!$B$49*Assumptions!$B$59,0)</f>
        <v>3375</v>
      </c>
      <c r="E7" s="48">
        <f>IF(4&gt;=Assumptions!$C$49,Assumptions!$B$49*Assumptions!$B$59,0)</f>
        <v>3375</v>
      </c>
      <c r="F7" s="48">
        <f>IF(5&gt;=Assumptions!$C$49,Assumptions!$B$49*Assumptions!$B$59,0)</f>
        <v>3375</v>
      </c>
      <c r="G7" s="48">
        <f>IF(6&gt;=Assumptions!$C$49,Assumptions!$B$49*Assumptions!$B$59,0)</f>
        <v>3375</v>
      </c>
      <c r="H7" s="48">
        <f>IF(7&gt;=Assumptions!$C$49,Assumptions!$B$49*Assumptions!$B$59,0)</f>
        <v>3375</v>
      </c>
      <c r="I7" s="48">
        <f>IF(8&gt;=Assumptions!$C$49,Assumptions!$B$49*Assumptions!$B$59,0)</f>
        <v>3375</v>
      </c>
      <c r="J7" s="48">
        <f>IF(9&gt;=Assumptions!$C$49,Assumptions!$B$49*Assumptions!$B$59,0)</f>
        <v>3375</v>
      </c>
      <c r="K7" s="48">
        <f>IF(10&gt;=Assumptions!$C$49,Assumptions!$B$49*Assumptions!$B$59,0)</f>
        <v>3375</v>
      </c>
      <c r="L7" s="48">
        <f>IF(11&gt;=Assumptions!$C$49,Assumptions!$B$49*Assumptions!$B$59,0)</f>
        <v>3375</v>
      </c>
      <c r="M7" s="48">
        <f>IF(12&gt;=Assumptions!$C$49,Assumptions!$B$49*Assumptions!$B$59,0)</f>
        <v>3375</v>
      </c>
      <c r="N7" s="48">
        <f>IF(13&gt;=Assumptions!$C$49,Assumptions!$B$49*Assumptions!$B$59,0)</f>
        <v>3375</v>
      </c>
      <c r="O7" s="48">
        <f>IF(14&gt;=Assumptions!$C$49,Assumptions!$B$49*Assumptions!$B$59,0)</f>
        <v>3375</v>
      </c>
      <c r="P7" s="48">
        <f>IF(15&gt;=Assumptions!$C$49,Assumptions!$B$49*Assumptions!$B$59,0)</f>
        <v>3375</v>
      </c>
      <c r="Q7" s="48">
        <f>IF(16&gt;=Assumptions!$C$49,Assumptions!$B$49*Assumptions!$B$59,0)</f>
        <v>3375</v>
      </c>
      <c r="R7" s="48">
        <f>IF(17&gt;=Assumptions!$C$49,Assumptions!$B$49*Assumptions!$B$59,0)</f>
        <v>3375</v>
      </c>
      <c r="S7" s="48">
        <f>IF(18&gt;=Assumptions!$C$49,Assumptions!$B$49*Assumptions!$B$59,0)</f>
        <v>3375</v>
      </c>
      <c r="T7" s="48">
        <f>IF(19&gt;=Assumptions!$C$49,Assumptions!$B$49*Assumptions!$B$59,0)</f>
        <v>3375</v>
      </c>
      <c r="U7" s="48">
        <f>IF(20&gt;=Assumptions!$C$49,Assumptions!$B$49*Assumptions!$B$59,0)</f>
        <v>3375</v>
      </c>
      <c r="V7" s="48">
        <f>IF(21&gt;=Assumptions!$C$49,Assumptions!$B$49*Assumptions!$B$59,0)</f>
        <v>3375</v>
      </c>
      <c r="W7" s="48">
        <f>IF(22&gt;=Assumptions!$C$49,Assumptions!$B$49*Assumptions!$B$59,0)</f>
        <v>3375</v>
      </c>
      <c r="X7" s="48">
        <f>IF(23&gt;=Assumptions!$C$49,Assumptions!$B$49*Assumptions!$B$59,0)</f>
        <v>3375</v>
      </c>
      <c r="Y7" s="48">
        <f>IF(24&gt;=Assumptions!$C$49,Assumptions!$B$49*Assumptions!$B$59,0)</f>
        <v>3375</v>
      </c>
      <c r="Z7" s="97">
        <f t="shared" si="0"/>
        <v>81000</v>
      </c>
      <c r="AA7" s="124"/>
      <c r="AB7" s="125">
        <f>AVERAGE(B31:Y31)</f>
        <v>35223.1323091</v>
      </c>
    </row>
    <row r="8" ht="15" customHeight="1">
      <c r="A8" s="96" t="s">
        <v>219</v>
      </c>
      <c r="B8" s="48">
        <f>IF(1&gt;=Assumptions!$C$50,Assumptions!$B$50*Assumptions!$B$59,0)</f>
        <v>2700</v>
      </c>
      <c r="C8" s="48">
        <f>IF(2&gt;=Assumptions!$C$50,Assumptions!$B$50*Assumptions!$B$59,0)</f>
        <v>2700</v>
      </c>
      <c r="D8" s="48">
        <f>IF(3&gt;=Assumptions!$C$50,Assumptions!$B$50*Assumptions!$B$59,0)</f>
        <v>2700</v>
      </c>
      <c r="E8" s="48">
        <f>IF(4&gt;=Assumptions!$C$50,Assumptions!$B$50*Assumptions!$B$59,0)</f>
        <v>2700</v>
      </c>
      <c r="F8" s="48">
        <f>IF(5&gt;=Assumptions!$C$50,Assumptions!$B$50*Assumptions!$B$59,0)</f>
        <v>2700</v>
      </c>
      <c r="G8" s="48">
        <f>IF(6&gt;=Assumptions!$C$50,Assumptions!$B$50*Assumptions!$B$59,0)</f>
        <v>2700</v>
      </c>
      <c r="H8" s="48">
        <f>IF(7&gt;=Assumptions!$C$50,Assumptions!$B$50*Assumptions!$B$59,0)</f>
        <v>2700</v>
      </c>
      <c r="I8" s="48">
        <f>IF(8&gt;=Assumptions!$C$50,Assumptions!$B$50*Assumptions!$B$59,0)</f>
        <v>2700</v>
      </c>
      <c r="J8" s="48">
        <f>IF(9&gt;=Assumptions!$C$50,Assumptions!$B$50*Assumptions!$B$59,0)</f>
        <v>2700</v>
      </c>
      <c r="K8" s="48">
        <f>IF(10&gt;=Assumptions!$C$50,Assumptions!$B$50*Assumptions!$B$59,0)</f>
        <v>2700</v>
      </c>
      <c r="L8" s="48">
        <f>IF(11&gt;=Assumptions!$C$50,Assumptions!$B$50*Assumptions!$B$59,0)</f>
        <v>2700</v>
      </c>
      <c r="M8" s="48">
        <f>IF(12&gt;=Assumptions!$C$50,Assumptions!$B$50*Assumptions!$B$59,0)</f>
        <v>2700</v>
      </c>
      <c r="N8" s="48">
        <f>IF(13&gt;=Assumptions!$C$50,Assumptions!$B$50*Assumptions!$B$59,0)</f>
        <v>2700</v>
      </c>
      <c r="O8" s="48">
        <f>IF(14&gt;=Assumptions!$C$50,Assumptions!$B$50*Assumptions!$B$59,0)</f>
        <v>2700</v>
      </c>
      <c r="P8" s="48">
        <f>IF(15&gt;=Assumptions!$C$50,Assumptions!$B$50*Assumptions!$B$59,0)</f>
        <v>2700</v>
      </c>
      <c r="Q8" s="48">
        <f>IF(16&gt;=Assumptions!$C$50,Assumptions!$B$50*Assumptions!$B$59,0)</f>
        <v>2700</v>
      </c>
      <c r="R8" s="48">
        <f>IF(17&gt;=Assumptions!$C$50,Assumptions!$B$50*Assumptions!$B$59,0)</f>
        <v>2700</v>
      </c>
      <c r="S8" s="48">
        <f>IF(18&gt;=Assumptions!$C$50,Assumptions!$B$50*Assumptions!$B$59,0)</f>
        <v>2700</v>
      </c>
      <c r="T8" s="48">
        <f>IF(19&gt;=Assumptions!$C$50,Assumptions!$B$50*Assumptions!$B$59,0)</f>
        <v>2700</v>
      </c>
      <c r="U8" s="48">
        <f>IF(20&gt;=Assumptions!$C$50,Assumptions!$B$50*Assumptions!$B$59,0)</f>
        <v>2700</v>
      </c>
      <c r="V8" s="48">
        <f>IF(21&gt;=Assumptions!$C$50,Assumptions!$B$50*Assumptions!$B$59,0)</f>
        <v>2700</v>
      </c>
      <c r="W8" s="48">
        <f>IF(22&gt;=Assumptions!$C$50,Assumptions!$B$50*Assumptions!$B$59,0)</f>
        <v>2700</v>
      </c>
      <c r="X8" s="48">
        <f>IF(23&gt;=Assumptions!$C$50,Assumptions!$B$50*Assumptions!$B$59,0)</f>
        <v>2700</v>
      </c>
      <c r="Y8" s="48">
        <f>IF(24&gt;=Assumptions!$C$50,Assumptions!$B$50*Assumptions!$B$59,0)</f>
        <v>2700</v>
      </c>
      <c r="Z8" s="97">
        <f t="shared" si="0"/>
        <v>64800</v>
      </c>
      <c r="AA8" s="124"/>
      <c r="AB8" s="125">
        <f>B31</f>
        <v>22262.327188</v>
      </c>
    </row>
    <row r="9" ht="15" customHeight="1">
      <c r="A9" s="96" t="s">
        <v>220</v>
      </c>
      <c r="B9" s="48">
        <f>IF(1&gt;=Assumptions!$C$51,Assumptions!$B$51*Assumptions!$B$59,0)</f>
        <v>2025</v>
      </c>
      <c r="C9" s="48">
        <f>IF(2&gt;=Assumptions!$C$51,Assumptions!$B$51*Assumptions!$B$59,0)</f>
        <v>2025</v>
      </c>
      <c r="D9" s="48">
        <f>IF(3&gt;=Assumptions!$C$51,Assumptions!$B$51*Assumptions!$B$59,0)</f>
        <v>2025</v>
      </c>
      <c r="E9" s="48">
        <f>IF(4&gt;=Assumptions!$C$51,Assumptions!$B$51*Assumptions!$B$59,0)</f>
        <v>2025</v>
      </c>
      <c r="F9" s="48">
        <f>IF(5&gt;=Assumptions!$C$51,Assumptions!$B$51*Assumptions!$B$59,0)</f>
        <v>2025</v>
      </c>
      <c r="G9" s="48">
        <f>IF(6&gt;=Assumptions!$C$51,Assumptions!$B$51*Assumptions!$B$59,0)</f>
        <v>2025</v>
      </c>
      <c r="H9" s="48">
        <f>IF(7&gt;=Assumptions!$C$51,Assumptions!$B$51*Assumptions!$B$59,0)</f>
        <v>2025</v>
      </c>
      <c r="I9" s="48">
        <f>IF(8&gt;=Assumptions!$C$51,Assumptions!$B$51*Assumptions!$B$59,0)</f>
        <v>2025</v>
      </c>
      <c r="J9" s="48">
        <f>IF(9&gt;=Assumptions!$C$51,Assumptions!$B$51*Assumptions!$B$59,0)</f>
        <v>2025</v>
      </c>
      <c r="K9" s="48">
        <f>IF(10&gt;=Assumptions!$C$51,Assumptions!$B$51*Assumptions!$B$59,0)</f>
        <v>2025</v>
      </c>
      <c r="L9" s="48">
        <f>IF(11&gt;=Assumptions!$C$51,Assumptions!$B$51*Assumptions!$B$59,0)</f>
        <v>2025</v>
      </c>
      <c r="M9" s="48">
        <f>IF(12&gt;=Assumptions!$C$51,Assumptions!$B$51*Assumptions!$B$59,0)</f>
        <v>2025</v>
      </c>
      <c r="N9" s="48">
        <f>IF(13&gt;=Assumptions!$C$51,Assumptions!$B$51*Assumptions!$B$59,0)</f>
        <v>2025</v>
      </c>
      <c r="O9" s="48">
        <f>IF(14&gt;=Assumptions!$C$51,Assumptions!$B$51*Assumptions!$B$59,0)</f>
        <v>2025</v>
      </c>
      <c r="P9" s="48">
        <f>IF(15&gt;=Assumptions!$C$51,Assumptions!$B$51*Assumptions!$B$59,0)</f>
        <v>2025</v>
      </c>
      <c r="Q9" s="48">
        <f>IF(16&gt;=Assumptions!$C$51,Assumptions!$B$51*Assumptions!$B$59,0)</f>
        <v>2025</v>
      </c>
      <c r="R9" s="48">
        <f>IF(17&gt;=Assumptions!$C$51,Assumptions!$B$51*Assumptions!$B$59,0)</f>
        <v>2025</v>
      </c>
      <c r="S9" s="48">
        <f>IF(18&gt;=Assumptions!$C$51,Assumptions!$B$51*Assumptions!$B$59,0)</f>
        <v>2025</v>
      </c>
      <c r="T9" s="48">
        <f>IF(19&gt;=Assumptions!$C$51,Assumptions!$B$51*Assumptions!$B$59,0)</f>
        <v>2025</v>
      </c>
      <c r="U9" s="48">
        <f>IF(20&gt;=Assumptions!$C$51,Assumptions!$B$51*Assumptions!$B$59,0)</f>
        <v>2025</v>
      </c>
      <c r="V9" s="48">
        <f>IF(21&gt;=Assumptions!$C$51,Assumptions!$B$51*Assumptions!$B$59,0)</f>
        <v>2025</v>
      </c>
      <c r="W9" s="48">
        <f>IF(22&gt;=Assumptions!$C$51,Assumptions!$B$51*Assumptions!$B$59,0)</f>
        <v>2025</v>
      </c>
      <c r="X9" s="48">
        <f>IF(23&gt;=Assumptions!$C$51,Assumptions!$B$51*Assumptions!$B$59,0)</f>
        <v>2025</v>
      </c>
      <c r="Y9" s="48">
        <f>IF(24&gt;=Assumptions!$C$51,Assumptions!$B$51*Assumptions!$B$59,0)</f>
        <v>2025</v>
      </c>
      <c r="Z9" s="97">
        <f t="shared" si="0"/>
        <v>48600</v>
      </c>
      <c r="AA9" s="124"/>
      <c r="AB9" s="125">
        <f t="shared" si="1" ref="AB9:AB10">Y31</f>
        <v>43853.963128</v>
      </c>
    </row>
    <row r="10" ht="15" customHeight="1">
      <c r="A10" s="96" t="s">
        <v>221</v>
      </c>
      <c r="B10" s="48">
        <f>IF(1&gt;=Assumptions!$C$52,Assumptions!$B$52*Assumptions!$B$59,0)</f>
        <v>0</v>
      </c>
      <c r="C10" s="48">
        <f>IF(2&gt;=Assumptions!$C$52,Assumptions!$B$52*Assumptions!$B$59,0)</f>
        <v>0</v>
      </c>
      <c r="D10" s="48">
        <f>IF(3&gt;=Assumptions!$C$52,Assumptions!$B$52*Assumptions!$B$59,0)</f>
        <v>0</v>
      </c>
      <c r="E10" s="48">
        <f>IF(4&gt;=Assumptions!$C$52,Assumptions!$B$52*Assumptions!$B$59,0)</f>
        <v>1350</v>
      </c>
      <c r="F10" s="48">
        <f>IF(5&gt;=Assumptions!$C$52,Assumptions!$B$52*Assumptions!$B$59,0)</f>
        <v>1350</v>
      </c>
      <c r="G10" s="48">
        <f>IF(6&gt;=Assumptions!$C$52,Assumptions!$B$52*Assumptions!$B$59,0)</f>
        <v>1350</v>
      </c>
      <c r="H10" s="48">
        <f>IF(7&gt;=Assumptions!$C$52,Assumptions!$B$52*Assumptions!$B$59,0)</f>
        <v>1350</v>
      </c>
      <c r="I10" s="48">
        <f>IF(8&gt;=Assumptions!$C$52,Assumptions!$B$52*Assumptions!$B$59,0)</f>
        <v>1350</v>
      </c>
      <c r="J10" s="48">
        <f>IF(9&gt;=Assumptions!$C$52,Assumptions!$B$52*Assumptions!$B$59,0)</f>
        <v>1350</v>
      </c>
      <c r="K10" s="48">
        <f>IF(10&gt;=Assumptions!$C$52,Assumptions!$B$52*Assumptions!$B$59,0)</f>
        <v>1350</v>
      </c>
      <c r="L10" s="48">
        <f>IF(11&gt;=Assumptions!$C$52,Assumptions!$B$52*Assumptions!$B$59,0)</f>
        <v>1350</v>
      </c>
      <c r="M10" s="48">
        <f>IF(12&gt;=Assumptions!$C$52,Assumptions!$B$52*Assumptions!$B$59,0)</f>
        <v>1350</v>
      </c>
      <c r="N10" s="48">
        <f>IF(13&gt;=Assumptions!$C$52,Assumptions!$B$52*Assumptions!$B$59,0)</f>
        <v>1350</v>
      </c>
      <c r="O10" s="48">
        <f>IF(14&gt;=Assumptions!$C$52,Assumptions!$B$52*Assumptions!$B$59,0)</f>
        <v>1350</v>
      </c>
      <c r="P10" s="48">
        <f>IF(15&gt;=Assumptions!$C$52,Assumptions!$B$52*Assumptions!$B$59,0)</f>
        <v>1350</v>
      </c>
      <c r="Q10" s="48">
        <f>IF(16&gt;=Assumptions!$C$52,Assumptions!$B$52*Assumptions!$B$59,0)</f>
        <v>1350</v>
      </c>
      <c r="R10" s="48">
        <f>IF(17&gt;=Assumptions!$C$52,Assumptions!$B$52*Assumptions!$B$59,0)</f>
        <v>1350</v>
      </c>
      <c r="S10" s="48">
        <f>IF(18&gt;=Assumptions!$C$52,Assumptions!$B$52*Assumptions!$B$59,0)</f>
        <v>1350</v>
      </c>
      <c r="T10" s="48">
        <f>IF(19&gt;=Assumptions!$C$52,Assumptions!$B$52*Assumptions!$B$59,0)</f>
        <v>1350</v>
      </c>
      <c r="U10" s="48">
        <f>IF(20&gt;=Assumptions!$C$52,Assumptions!$B$52*Assumptions!$B$59,0)</f>
        <v>1350</v>
      </c>
      <c r="V10" s="48">
        <f>IF(21&gt;=Assumptions!$C$52,Assumptions!$B$52*Assumptions!$B$59,0)</f>
        <v>1350</v>
      </c>
      <c r="W10" s="48">
        <f>IF(22&gt;=Assumptions!$C$52,Assumptions!$B$52*Assumptions!$B$59,0)</f>
        <v>1350</v>
      </c>
      <c r="X10" s="48">
        <f>IF(23&gt;=Assumptions!$C$52,Assumptions!$B$52*Assumptions!$B$59,0)</f>
        <v>1350</v>
      </c>
      <c r="Y10" s="48">
        <f>IF(24&gt;=Assumptions!$C$52,Assumptions!$B$52*Assumptions!$B$59,0)</f>
        <v>1350</v>
      </c>
      <c r="Z10" s="97">
        <f t="shared" si="0"/>
        <v>28350</v>
      </c>
      <c r="AA10" s="124"/>
      <c r="AB10" s="125">
        <f t="shared" si="1"/>
        <v>845355.1754184</v>
      </c>
    </row>
    <row r="11" ht="15" customHeight="1">
      <c r="A11" s="96" t="s">
        <v>222</v>
      </c>
      <c r="B11" s="48">
        <f>IF(1&gt;=Assumptions!$C$53,Assumptions!$B$53*Assumptions!$B$59,0)</f>
        <v>2025</v>
      </c>
      <c r="C11" s="48">
        <f>IF(2&gt;=Assumptions!$C$53,Assumptions!$B$53*Assumptions!$B$59,0)</f>
        <v>2025</v>
      </c>
      <c r="D11" s="48">
        <f>IF(3&gt;=Assumptions!$C$53,Assumptions!$B$53*Assumptions!$B$59,0)</f>
        <v>2025</v>
      </c>
      <c r="E11" s="48">
        <f>IF(4&gt;=Assumptions!$C$53,Assumptions!$B$53*Assumptions!$B$59,0)</f>
        <v>2025</v>
      </c>
      <c r="F11" s="48">
        <f>IF(5&gt;=Assumptions!$C$53,Assumptions!$B$53*Assumptions!$B$59,0)</f>
        <v>2025</v>
      </c>
      <c r="G11" s="48">
        <f>IF(6&gt;=Assumptions!$C$53,Assumptions!$B$53*Assumptions!$B$59,0)</f>
        <v>2025</v>
      </c>
      <c r="H11" s="48">
        <f>IF(7&gt;=Assumptions!$C$53,Assumptions!$B$53*Assumptions!$B$59,0)</f>
        <v>2025</v>
      </c>
      <c r="I11" s="48">
        <f>IF(8&gt;=Assumptions!$C$53,Assumptions!$B$53*Assumptions!$B$59,0)</f>
        <v>2025</v>
      </c>
      <c r="J11" s="48">
        <f>IF(9&gt;=Assumptions!$C$53,Assumptions!$B$53*Assumptions!$B$59,0)</f>
        <v>2025</v>
      </c>
      <c r="K11" s="48">
        <f>IF(10&gt;=Assumptions!$C$53,Assumptions!$B$53*Assumptions!$B$59,0)</f>
        <v>2025</v>
      </c>
      <c r="L11" s="48">
        <f>IF(11&gt;=Assumptions!$C$53,Assumptions!$B$53*Assumptions!$B$59,0)</f>
        <v>2025</v>
      </c>
      <c r="M11" s="48">
        <f>IF(12&gt;=Assumptions!$C$53,Assumptions!$B$53*Assumptions!$B$59,0)</f>
        <v>2025</v>
      </c>
      <c r="N11" s="48">
        <f>IF(13&gt;=Assumptions!$C$53,Assumptions!$B$53*Assumptions!$B$59,0)</f>
        <v>2025</v>
      </c>
      <c r="O11" s="48">
        <f>IF(14&gt;=Assumptions!$C$53,Assumptions!$B$53*Assumptions!$B$59,0)</f>
        <v>2025</v>
      </c>
      <c r="P11" s="48">
        <f>IF(15&gt;=Assumptions!$C$53,Assumptions!$B$53*Assumptions!$B$59,0)</f>
        <v>2025</v>
      </c>
      <c r="Q11" s="48">
        <f>IF(16&gt;=Assumptions!$C$53,Assumptions!$B$53*Assumptions!$B$59,0)</f>
        <v>2025</v>
      </c>
      <c r="R11" s="48">
        <f>IF(17&gt;=Assumptions!$C$53,Assumptions!$B$53*Assumptions!$B$59,0)</f>
        <v>2025</v>
      </c>
      <c r="S11" s="48">
        <f>IF(18&gt;=Assumptions!$C$53,Assumptions!$B$53*Assumptions!$B$59,0)</f>
        <v>2025</v>
      </c>
      <c r="T11" s="48">
        <f>IF(19&gt;=Assumptions!$C$53,Assumptions!$B$53*Assumptions!$B$59,0)</f>
        <v>2025</v>
      </c>
      <c r="U11" s="48">
        <f>IF(20&gt;=Assumptions!$C$53,Assumptions!$B$53*Assumptions!$B$59,0)</f>
        <v>2025</v>
      </c>
      <c r="V11" s="48">
        <f>IF(21&gt;=Assumptions!$C$53,Assumptions!$B$53*Assumptions!$B$59,0)</f>
        <v>2025</v>
      </c>
      <c r="W11" s="48">
        <f>IF(22&gt;=Assumptions!$C$53,Assumptions!$B$53*Assumptions!$B$59,0)</f>
        <v>2025</v>
      </c>
      <c r="X11" s="48">
        <f>IF(23&gt;=Assumptions!$C$53,Assumptions!$B$53*Assumptions!$B$59,0)</f>
        <v>2025</v>
      </c>
      <c r="Y11" s="48">
        <f>IF(24&gt;=Assumptions!$C$53,Assumptions!$B$53*Assumptions!$B$59,0)</f>
        <v>2025</v>
      </c>
      <c r="Z11" s="97">
        <f t="shared" si="0"/>
        <v>48600</v>
      </c>
      <c r="AA11" s="124"/>
      <c r="AB11" s="125">
        <f>AVERAGE(B32:Y32)</f>
        <v>393578.07680675</v>
      </c>
    </row>
    <row r="12" ht="15" customHeight="1">
      <c r="A12" s="96" t="s">
        <v>223</v>
      </c>
      <c r="B12" s="48">
        <f>IF(1&gt;=Assumptions!$C$54,Assumptions!$B$54*Assumptions!$B$59,0)</f>
        <v>2025</v>
      </c>
      <c r="C12" s="48">
        <f>IF(2&gt;=Assumptions!$C$54,Assumptions!$B$54*Assumptions!$B$59,0)</f>
        <v>2025</v>
      </c>
      <c r="D12" s="48">
        <f>IF(3&gt;=Assumptions!$C$54,Assumptions!$B$54*Assumptions!$B$59,0)</f>
        <v>2025</v>
      </c>
      <c r="E12" s="48">
        <f>IF(4&gt;=Assumptions!$C$54,Assumptions!$B$54*Assumptions!$B$59,0)</f>
        <v>2025</v>
      </c>
      <c r="F12" s="48">
        <f>IF(5&gt;=Assumptions!$C$54,Assumptions!$B$54*Assumptions!$B$59,0)</f>
        <v>2025</v>
      </c>
      <c r="G12" s="48">
        <f>IF(6&gt;=Assumptions!$C$54,Assumptions!$B$54*Assumptions!$B$59,0)</f>
        <v>2025</v>
      </c>
      <c r="H12" s="48">
        <f>IF(7&gt;=Assumptions!$C$54,Assumptions!$B$54*Assumptions!$B$59,0)</f>
        <v>2025</v>
      </c>
      <c r="I12" s="48">
        <f>IF(8&gt;=Assumptions!$C$54,Assumptions!$B$54*Assumptions!$B$59,0)</f>
        <v>2025</v>
      </c>
      <c r="J12" s="48">
        <f>IF(9&gt;=Assumptions!$C$54,Assumptions!$B$54*Assumptions!$B$59,0)</f>
        <v>2025</v>
      </c>
      <c r="K12" s="48">
        <f>IF(10&gt;=Assumptions!$C$54,Assumptions!$B$54*Assumptions!$B$59,0)</f>
        <v>2025</v>
      </c>
      <c r="L12" s="48">
        <f>IF(11&gt;=Assumptions!$C$54,Assumptions!$B$54*Assumptions!$B$59,0)</f>
        <v>2025</v>
      </c>
      <c r="M12" s="48">
        <f>IF(12&gt;=Assumptions!$C$54,Assumptions!$B$54*Assumptions!$B$59,0)</f>
        <v>2025</v>
      </c>
      <c r="N12" s="48">
        <f>IF(13&gt;=Assumptions!$C$54,Assumptions!$B$54*Assumptions!$B$59,0)</f>
        <v>2025</v>
      </c>
      <c r="O12" s="48">
        <f>IF(14&gt;=Assumptions!$C$54,Assumptions!$B$54*Assumptions!$B$59,0)</f>
        <v>2025</v>
      </c>
      <c r="P12" s="48">
        <f>IF(15&gt;=Assumptions!$C$54,Assumptions!$B$54*Assumptions!$B$59,0)</f>
        <v>2025</v>
      </c>
      <c r="Q12" s="48">
        <f>IF(16&gt;=Assumptions!$C$54,Assumptions!$B$54*Assumptions!$B$59,0)</f>
        <v>2025</v>
      </c>
      <c r="R12" s="48">
        <f>IF(17&gt;=Assumptions!$C$54,Assumptions!$B$54*Assumptions!$B$59,0)</f>
        <v>2025</v>
      </c>
      <c r="S12" s="48">
        <f>IF(18&gt;=Assumptions!$C$54,Assumptions!$B$54*Assumptions!$B$59,0)</f>
        <v>2025</v>
      </c>
      <c r="T12" s="48">
        <f>IF(19&gt;=Assumptions!$C$54,Assumptions!$B$54*Assumptions!$B$59,0)</f>
        <v>2025</v>
      </c>
      <c r="U12" s="48">
        <f>IF(20&gt;=Assumptions!$C$54,Assumptions!$B$54*Assumptions!$B$59,0)</f>
        <v>2025</v>
      </c>
      <c r="V12" s="48">
        <f>IF(21&gt;=Assumptions!$C$54,Assumptions!$B$54*Assumptions!$B$59,0)</f>
        <v>2025</v>
      </c>
      <c r="W12" s="48">
        <f>IF(22&gt;=Assumptions!$C$54,Assumptions!$B$54*Assumptions!$B$59,0)</f>
        <v>2025</v>
      </c>
      <c r="X12" s="48">
        <f>IF(23&gt;=Assumptions!$C$54,Assumptions!$B$54*Assumptions!$B$59,0)</f>
        <v>2025</v>
      </c>
      <c r="Y12" s="48">
        <f>IF(24&gt;=Assumptions!$C$54,Assumptions!$B$54*Assumptions!$B$59,0)</f>
        <v>2025</v>
      </c>
      <c r="Z12" s="97">
        <f t="shared" si="0"/>
        <v>48600</v>
      </c>
      <c r="AB12" s="48"/>
    </row>
    <row r="13" ht="15" customHeight="1">
      <c r="A13" s="96" t="s">
        <v>224</v>
      </c>
      <c r="B13" s="48">
        <f>IF(1&gt;=Assumptions!$C$55,Assumptions!$B$55*Assumptions!$B$59,0)</f>
        <v>0</v>
      </c>
      <c r="C13" s="48">
        <f>IF(2&gt;=Assumptions!$C$55,Assumptions!$B$55*Assumptions!$B$59,0)</f>
        <v>0</v>
      </c>
      <c r="D13" s="48">
        <f>IF(3&gt;=Assumptions!$C$55,Assumptions!$B$55*Assumptions!$B$59,0)</f>
        <v>1350</v>
      </c>
      <c r="E13" s="48">
        <f>IF(4&gt;=Assumptions!$C$55,Assumptions!$B$55*Assumptions!$B$59,0)</f>
        <v>1350</v>
      </c>
      <c r="F13" s="48">
        <f>IF(5&gt;=Assumptions!$C$55,Assumptions!$B$55*Assumptions!$B$59,0)</f>
        <v>1350</v>
      </c>
      <c r="G13" s="48">
        <f>IF(6&gt;=Assumptions!$C$55,Assumptions!$B$55*Assumptions!$B$59,0)</f>
        <v>1350</v>
      </c>
      <c r="H13" s="48">
        <f>IF(7&gt;=Assumptions!$C$55,Assumptions!$B$55*Assumptions!$B$59,0)</f>
        <v>1350</v>
      </c>
      <c r="I13" s="48">
        <f>IF(8&gt;=Assumptions!$C$55,Assumptions!$B$55*Assumptions!$B$59,0)</f>
        <v>1350</v>
      </c>
      <c r="J13" s="48">
        <f>IF(9&gt;=Assumptions!$C$55,Assumptions!$B$55*Assumptions!$B$59,0)</f>
        <v>1350</v>
      </c>
      <c r="K13" s="48">
        <f>IF(10&gt;=Assumptions!$C$55,Assumptions!$B$55*Assumptions!$B$59,0)</f>
        <v>1350</v>
      </c>
      <c r="L13" s="48">
        <f>IF(11&gt;=Assumptions!$C$55,Assumptions!$B$55*Assumptions!$B$59,0)</f>
        <v>1350</v>
      </c>
      <c r="M13" s="48">
        <f>IF(12&gt;=Assumptions!$C$55,Assumptions!$B$55*Assumptions!$B$59,0)</f>
        <v>1350</v>
      </c>
      <c r="N13" s="48">
        <f>IF(13&gt;=Assumptions!$C$55,Assumptions!$B$55*Assumptions!$B$59,0)</f>
        <v>1350</v>
      </c>
      <c r="O13" s="48">
        <f>IF(14&gt;=Assumptions!$C$55,Assumptions!$B$55*Assumptions!$B$59,0)</f>
        <v>1350</v>
      </c>
      <c r="P13" s="48">
        <f>IF(15&gt;=Assumptions!$C$55,Assumptions!$B$55*Assumptions!$B$59,0)</f>
        <v>1350</v>
      </c>
      <c r="Q13" s="48">
        <f>IF(16&gt;=Assumptions!$C$55,Assumptions!$B$55*Assumptions!$B$59,0)</f>
        <v>1350</v>
      </c>
      <c r="R13" s="48">
        <f>IF(17&gt;=Assumptions!$C$55,Assumptions!$B$55*Assumptions!$B$59,0)</f>
        <v>1350</v>
      </c>
      <c r="S13" s="48">
        <f>IF(18&gt;=Assumptions!$C$55,Assumptions!$B$55*Assumptions!$B$59,0)</f>
        <v>1350</v>
      </c>
      <c r="T13" s="48">
        <f>IF(19&gt;=Assumptions!$C$55,Assumptions!$B$55*Assumptions!$B$59,0)</f>
        <v>1350</v>
      </c>
      <c r="U13" s="48">
        <f>IF(20&gt;=Assumptions!$C$55,Assumptions!$B$55*Assumptions!$B$59,0)</f>
        <v>1350</v>
      </c>
      <c r="V13" s="48">
        <f>IF(21&gt;=Assumptions!$C$55,Assumptions!$B$55*Assumptions!$B$59,0)</f>
        <v>1350</v>
      </c>
      <c r="W13" s="48">
        <f>IF(22&gt;=Assumptions!$C$55,Assumptions!$B$55*Assumptions!$B$59,0)</f>
        <v>1350</v>
      </c>
      <c r="X13" s="48">
        <f>IF(23&gt;=Assumptions!$C$55,Assumptions!$B$55*Assumptions!$B$59,0)</f>
        <v>1350</v>
      </c>
      <c r="Y13" s="48">
        <f>IF(24&gt;=Assumptions!$C$55,Assumptions!$B$55*Assumptions!$B$59,0)</f>
        <v>1350</v>
      </c>
      <c r="Z13" s="97">
        <f t="shared" si="0"/>
        <v>29700</v>
      </c>
      <c r="AB13" s="48"/>
    </row>
    <row r="14" ht="15" customHeight="1">
      <c r="A14" s="96" t="s">
        <v>225</v>
      </c>
      <c r="B14" s="48">
        <f>IF(1&gt;=Assumptions!$C$56,Assumptions!$B$56*Assumptions!$B$59,0)</f>
        <v>0</v>
      </c>
      <c r="C14" s="48">
        <f>IF(2&gt;=Assumptions!$C$56,Assumptions!$B$56*Assumptions!$B$59,0)</f>
        <v>0</v>
      </c>
      <c r="D14" s="48">
        <f>IF(3&gt;=Assumptions!$C$56,Assumptions!$B$56*Assumptions!$B$59,0)</f>
        <v>0</v>
      </c>
      <c r="E14" s="48">
        <f>IF(4&gt;=Assumptions!$C$56,Assumptions!$B$56*Assumptions!$B$59,0)</f>
        <v>0</v>
      </c>
      <c r="F14" s="48">
        <f>IF(5&gt;=Assumptions!$C$56,Assumptions!$B$56*Assumptions!$B$59,0)</f>
        <v>0</v>
      </c>
      <c r="G14" s="48">
        <f>IF(6&gt;=Assumptions!$C$56,Assumptions!$B$56*Assumptions!$B$59,0)</f>
        <v>1080</v>
      </c>
      <c r="H14" s="48">
        <f>IF(7&gt;=Assumptions!$C$56,Assumptions!$B$56*Assumptions!$B$59,0)</f>
        <v>1080</v>
      </c>
      <c r="I14" s="48">
        <f>IF(8&gt;=Assumptions!$C$56,Assumptions!$B$56*Assumptions!$B$59,0)</f>
        <v>1080</v>
      </c>
      <c r="J14" s="48">
        <f>IF(9&gt;=Assumptions!$C$56,Assumptions!$B$56*Assumptions!$B$59,0)</f>
        <v>1080</v>
      </c>
      <c r="K14" s="48">
        <f>IF(10&gt;=Assumptions!$C$56,Assumptions!$B$56*Assumptions!$B$59,0)</f>
        <v>1080</v>
      </c>
      <c r="L14" s="48">
        <f>IF(11&gt;=Assumptions!$C$56,Assumptions!$B$56*Assumptions!$B$59,0)</f>
        <v>1080</v>
      </c>
      <c r="M14" s="48">
        <f>IF(12&gt;=Assumptions!$C$56,Assumptions!$B$56*Assumptions!$B$59,0)</f>
        <v>1080</v>
      </c>
      <c r="N14" s="48">
        <f>IF(13&gt;=Assumptions!$C$56,Assumptions!$B$56*Assumptions!$B$59,0)</f>
        <v>1080</v>
      </c>
      <c r="O14" s="48">
        <f>IF(14&gt;=Assumptions!$C$56,Assumptions!$B$56*Assumptions!$B$59,0)</f>
        <v>1080</v>
      </c>
      <c r="P14" s="48">
        <f>IF(15&gt;=Assumptions!$C$56,Assumptions!$B$56*Assumptions!$B$59,0)</f>
        <v>1080</v>
      </c>
      <c r="Q14" s="48">
        <f>IF(16&gt;=Assumptions!$C$56,Assumptions!$B$56*Assumptions!$B$59,0)</f>
        <v>1080</v>
      </c>
      <c r="R14" s="48">
        <f>IF(17&gt;=Assumptions!$C$56,Assumptions!$B$56*Assumptions!$B$59,0)</f>
        <v>1080</v>
      </c>
      <c r="S14" s="48">
        <f>IF(18&gt;=Assumptions!$C$56,Assumptions!$B$56*Assumptions!$B$59,0)</f>
        <v>1080</v>
      </c>
      <c r="T14" s="48">
        <f>IF(19&gt;=Assumptions!$C$56,Assumptions!$B$56*Assumptions!$B$59,0)</f>
        <v>1080</v>
      </c>
      <c r="U14" s="48">
        <f>IF(20&gt;=Assumptions!$C$56,Assumptions!$B$56*Assumptions!$B$59,0)</f>
        <v>1080</v>
      </c>
      <c r="V14" s="48">
        <f>IF(21&gt;=Assumptions!$C$56,Assumptions!$B$56*Assumptions!$B$59,0)</f>
        <v>1080</v>
      </c>
      <c r="W14" s="48">
        <f>IF(22&gt;=Assumptions!$C$56,Assumptions!$B$56*Assumptions!$B$59,0)</f>
        <v>1080</v>
      </c>
      <c r="X14" s="48">
        <f>IF(23&gt;=Assumptions!$C$56,Assumptions!$B$56*Assumptions!$B$59,0)</f>
        <v>1080</v>
      </c>
      <c r="Y14" s="48">
        <f>IF(24&gt;=Assumptions!$C$56,Assumptions!$B$56*Assumptions!$B$59,0)</f>
        <v>1080</v>
      </c>
      <c r="Z14" s="97">
        <f t="shared" si="0"/>
        <v>20520</v>
      </c>
      <c r="AB14" s="48"/>
    </row>
    <row r="15" ht="15" customHeight="1">
      <c r="A15" s="96" t="s">
        <v>226</v>
      </c>
      <c r="B15" s="48">
        <f>IF(1&gt;=Assumptions!$C$57,Assumptions!$B$57*Assumptions!$B$59,0)</f>
        <v>0</v>
      </c>
      <c r="C15" s="48">
        <f>IF(2&gt;=Assumptions!$C$57,Assumptions!$B$57*Assumptions!$B$59,0)</f>
        <v>0</v>
      </c>
      <c r="D15" s="48">
        <f>IF(3&gt;=Assumptions!$C$57,Assumptions!$B$57*Assumptions!$B$59,0)</f>
        <v>0</v>
      </c>
      <c r="E15" s="48">
        <f>IF(4&gt;=Assumptions!$C$57,Assumptions!$B$57*Assumptions!$B$59,0)</f>
        <v>0</v>
      </c>
      <c r="F15" s="48">
        <f>IF(5&gt;=Assumptions!$C$57,Assumptions!$B$57*Assumptions!$B$59,0)</f>
        <v>0</v>
      </c>
      <c r="G15" s="48">
        <f>IF(6&gt;=Assumptions!$C$57,Assumptions!$B$57*Assumptions!$B$59,0)</f>
        <v>0</v>
      </c>
      <c r="H15" s="48">
        <f>IF(7&gt;=Assumptions!$C$57,Assumptions!$B$57*Assumptions!$B$59,0)</f>
        <v>0</v>
      </c>
      <c r="I15" s="48">
        <f>IF(8&gt;=Assumptions!$C$57,Assumptions!$B$57*Assumptions!$B$59,0)</f>
        <v>0</v>
      </c>
      <c r="J15" s="48">
        <f>IF(9&gt;=Assumptions!$C$57,Assumptions!$B$57*Assumptions!$B$59,0)</f>
        <v>0</v>
      </c>
      <c r="K15" s="48">
        <f>IF(10&gt;=Assumptions!$C$57,Assumptions!$B$57*Assumptions!$B$59,0)</f>
        <v>0</v>
      </c>
      <c r="L15" s="48">
        <f>IF(11&gt;=Assumptions!$C$57,Assumptions!$B$57*Assumptions!$B$59,0)</f>
        <v>0</v>
      </c>
      <c r="M15" s="48">
        <f>IF(12&gt;=Assumptions!$C$57,Assumptions!$B$57*Assumptions!$B$59,0)</f>
        <v>0</v>
      </c>
      <c r="N15" s="48">
        <f>IF(13&gt;=Assumptions!$C$57,Assumptions!$B$57*Assumptions!$B$59,0)</f>
        <v>0</v>
      </c>
      <c r="O15" s="48">
        <f>IF(14&gt;=Assumptions!$C$57,Assumptions!$B$57*Assumptions!$B$59,0)</f>
        <v>0</v>
      </c>
      <c r="P15" s="48">
        <f>IF(15&gt;=Assumptions!$C$57,Assumptions!$B$57*Assumptions!$B$59,0)</f>
        <v>0</v>
      </c>
      <c r="Q15" s="48">
        <f>IF(16&gt;=Assumptions!$C$57,Assumptions!$B$57*Assumptions!$B$59,0)</f>
        <v>0</v>
      </c>
      <c r="R15" s="48">
        <f>IF(17&gt;=Assumptions!$C$57,Assumptions!$B$57*Assumptions!$B$59,0)</f>
        <v>0</v>
      </c>
      <c r="S15" s="48">
        <f>IF(18&gt;=Assumptions!$C$57,Assumptions!$B$57*Assumptions!$B$59,0)</f>
        <v>0</v>
      </c>
      <c r="T15" s="48">
        <f>IF(19&gt;=Assumptions!$C$57,Assumptions!$B$57*Assumptions!$B$59,0)</f>
        <v>0</v>
      </c>
      <c r="U15" s="48">
        <f>IF(20&gt;=Assumptions!$C$57,Assumptions!$B$57*Assumptions!$B$59,0)</f>
        <v>0</v>
      </c>
      <c r="V15" s="48">
        <f>IF(21&gt;=Assumptions!$C$57,Assumptions!$B$57*Assumptions!$B$59,0)</f>
        <v>0</v>
      </c>
      <c r="W15" s="48">
        <f>IF(22&gt;=Assumptions!$C$57,Assumptions!$B$57*Assumptions!$B$59,0)</f>
        <v>0</v>
      </c>
      <c r="X15" s="48">
        <f>IF(23&gt;=Assumptions!$C$57,Assumptions!$B$57*Assumptions!$B$59,0)</f>
        <v>0</v>
      </c>
      <c r="Y15" s="48">
        <f>IF(24&gt;=Assumptions!$C$57,Assumptions!$B$57*Assumptions!$B$59,0)</f>
        <v>0</v>
      </c>
      <c r="Z15" s="97">
        <f t="shared" si="0"/>
        <v>0</v>
      </c>
      <c r="AB15" s="48"/>
    </row>
    <row r="16" ht="15" customHeight="1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B16" s="48"/>
    </row>
    <row r="17" ht="15.75" customHeight="1">
      <c r="A17" s="126" t="s">
        <v>404</v>
      </c>
      <c r="B17" s="127">
        <f t="shared" si="2" ref="B17:Y17">SUM(B6:B15)</f>
        <v>16200</v>
      </c>
      <c r="C17" s="127">
        <f t="shared" si="2"/>
        <v>16200</v>
      </c>
      <c r="D17" s="127">
        <f t="shared" si="2"/>
        <v>17550</v>
      </c>
      <c r="E17" s="127">
        <f t="shared" si="2"/>
        <v>18900</v>
      </c>
      <c r="F17" s="127">
        <f t="shared" si="2"/>
        <v>18900</v>
      </c>
      <c r="G17" s="127">
        <f t="shared" si="2"/>
        <v>19980</v>
      </c>
      <c r="H17" s="127">
        <f t="shared" si="2"/>
        <v>19980</v>
      </c>
      <c r="I17" s="127">
        <f t="shared" si="2"/>
        <v>19980</v>
      </c>
      <c r="J17" s="127">
        <f t="shared" si="2"/>
        <v>19980</v>
      </c>
      <c r="K17" s="127">
        <f t="shared" si="2"/>
        <v>19980</v>
      </c>
      <c r="L17" s="127">
        <f t="shared" si="2"/>
        <v>19980</v>
      </c>
      <c r="M17" s="127">
        <f t="shared" si="2"/>
        <v>19980</v>
      </c>
      <c r="N17" s="127">
        <f t="shared" si="2"/>
        <v>19980</v>
      </c>
      <c r="O17" s="127">
        <f t="shared" si="2"/>
        <v>19980</v>
      </c>
      <c r="P17" s="127">
        <f t="shared" si="2"/>
        <v>19980</v>
      </c>
      <c r="Q17" s="127">
        <f t="shared" si="2"/>
        <v>19980</v>
      </c>
      <c r="R17" s="127">
        <f t="shared" si="2"/>
        <v>19980</v>
      </c>
      <c r="S17" s="127">
        <f t="shared" si="2"/>
        <v>19980</v>
      </c>
      <c r="T17" s="127">
        <f t="shared" si="2"/>
        <v>19980</v>
      </c>
      <c r="U17" s="127">
        <f t="shared" si="2"/>
        <v>19980</v>
      </c>
      <c r="V17" s="127">
        <f t="shared" si="2"/>
        <v>19980</v>
      </c>
      <c r="W17" s="127">
        <f t="shared" si="2"/>
        <v>19980</v>
      </c>
      <c r="X17" s="127">
        <f t="shared" si="2"/>
        <v>19980</v>
      </c>
      <c r="Y17" s="127">
        <f t="shared" si="2"/>
        <v>19980</v>
      </c>
      <c r="Z17" s="100">
        <f t="shared" si="0"/>
        <v>467370</v>
      </c>
      <c r="AB17" s="48"/>
    </row>
    <row r="18" ht="15" customHeight="1">
      <c r="A18" s="96" t="s">
        <v>405</v>
      </c>
      <c r="B18" s="48">
        <f t="shared" si="5" ref="B18:B32">B17</f>
        <v>16200</v>
      </c>
      <c r="C18" s="48">
        <f t="shared" si="3" ref="C18:Y32">B18+C17</f>
        <v>32400</v>
      </c>
      <c r="D18" s="48">
        <f t="shared" si="3"/>
        <v>49950</v>
      </c>
      <c r="E18" s="48">
        <f t="shared" si="3"/>
        <v>68850</v>
      </c>
      <c r="F18" s="48">
        <f t="shared" si="3"/>
        <v>87750</v>
      </c>
      <c r="G18" s="48">
        <f t="shared" si="3"/>
        <v>107730</v>
      </c>
      <c r="H18" s="48">
        <f t="shared" si="3"/>
        <v>127710</v>
      </c>
      <c r="I18" s="48">
        <f t="shared" si="3"/>
        <v>147690</v>
      </c>
      <c r="J18" s="48">
        <f t="shared" si="3"/>
        <v>167670</v>
      </c>
      <c r="K18" s="48">
        <f t="shared" si="3"/>
        <v>187650</v>
      </c>
      <c r="L18" s="48">
        <f t="shared" si="3"/>
        <v>207630</v>
      </c>
      <c r="M18" s="48">
        <f t="shared" si="3"/>
        <v>227610</v>
      </c>
      <c r="N18" s="48">
        <f t="shared" si="3"/>
        <v>247590</v>
      </c>
      <c r="O18" s="48">
        <f t="shared" si="3"/>
        <v>267570</v>
      </c>
      <c r="P18" s="48">
        <f t="shared" si="3"/>
        <v>287550</v>
      </c>
      <c r="Q18" s="48">
        <f t="shared" si="3"/>
        <v>307530</v>
      </c>
      <c r="R18" s="48">
        <f t="shared" si="3"/>
        <v>327510</v>
      </c>
      <c r="S18" s="48">
        <f t="shared" si="3"/>
        <v>347490</v>
      </c>
      <c r="T18" s="48">
        <f t="shared" si="3"/>
        <v>367470</v>
      </c>
      <c r="U18" s="48">
        <f t="shared" si="3"/>
        <v>387450</v>
      </c>
      <c r="V18" s="48">
        <f t="shared" si="3"/>
        <v>407430</v>
      </c>
      <c r="W18" s="48">
        <f t="shared" si="3"/>
        <v>427410</v>
      </c>
      <c r="X18" s="48">
        <f t="shared" si="3"/>
        <v>447390</v>
      </c>
      <c r="Y18" s="48">
        <f t="shared" si="3"/>
        <v>467370</v>
      </c>
      <c r="Z18" s="97">
        <f t="shared" si="6" ref="Z18:Z32">Y18</f>
        <v>467370</v>
      </c>
      <c r="AB18" s="48"/>
    </row>
    <row r="19" ht="15.75" customHeight="1">
      <c r="A19" s="12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B19" s="48"/>
    </row>
    <row r="20" ht="15.75" customHeight="1">
      <c r="A20" s="129" t="s">
        <v>252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B20" s="48"/>
    </row>
    <row r="21" ht="15" customHeight="1">
      <c r="A21" s="96" t="s">
        <v>406</v>
      </c>
      <c r="B21" s="48">
        <f>Assumptions!$B$80</f>
        <v>500</v>
      </c>
      <c r="C21" s="48">
        <f>Assumptions!$B$80</f>
        <v>500</v>
      </c>
      <c r="D21" s="48">
        <f>Assumptions!$B$80</f>
        <v>500</v>
      </c>
      <c r="E21" s="48">
        <f>Assumptions!$B$80</f>
        <v>500</v>
      </c>
      <c r="F21" s="48">
        <f>Assumptions!$B$80</f>
        <v>500</v>
      </c>
      <c r="G21" s="48">
        <f>Assumptions!$B$80</f>
        <v>500</v>
      </c>
      <c r="H21" s="48">
        <f>Assumptions!$B$80</f>
        <v>500</v>
      </c>
      <c r="I21" s="48">
        <f>Assumptions!$B$80</f>
        <v>500</v>
      </c>
      <c r="J21" s="48">
        <f>Assumptions!$B$80</f>
        <v>500</v>
      </c>
      <c r="K21" s="48">
        <f>Assumptions!$B$80</f>
        <v>500</v>
      </c>
      <c r="L21" s="48">
        <f>Assumptions!$B$80</f>
        <v>500</v>
      </c>
      <c r="M21" s="48">
        <f>Assumptions!$B$80</f>
        <v>500</v>
      </c>
      <c r="N21" s="48">
        <f>Assumptions!$B$80</f>
        <v>500</v>
      </c>
      <c r="O21" s="48">
        <f>Assumptions!$B$80</f>
        <v>500</v>
      </c>
      <c r="P21" s="48">
        <f>Assumptions!$B$80</f>
        <v>500</v>
      </c>
      <c r="Q21" s="48">
        <f>Assumptions!$B$80</f>
        <v>500</v>
      </c>
      <c r="R21" s="48">
        <f>Assumptions!$B$80</f>
        <v>500</v>
      </c>
      <c r="S21" s="48">
        <f>Assumptions!$B$80</f>
        <v>500</v>
      </c>
      <c r="T21" s="48">
        <f>Assumptions!$B$80</f>
        <v>500</v>
      </c>
      <c r="U21" s="48">
        <f>Assumptions!$B$80</f>
        <v>500</v>
      </c>
      <c r="V21" s="48">
        <f>Assumptions!$B$80</f>
        <v>500</v>
      </c>
      <c r="W21" s="48">
        <f>Assumptions!$B$80</f>
        <v>500</v>
      </c>
      <c r="X21" s="48">
        <f>Assumptions!$B$80</f>
        <v>500</v>
      </c>
      <c r="Y21" s="48">
        <f>Assumptions!$B$80</f>
        <v>500</v>
      </c>
      <c r="Z21" s="97">
        <f t="shared" si="0"/>
        <v>12000</v>
      </c>
      <c r="AB21" s="48"/>
    </row>
    <row r="22" ht="15" customHeight="1">
      <c r="A22" s="96" t="s">
        <v>407</v>
      </c>
      <c r="B22" s="48">
        <f>Assumptions!$B$81</f>
        <v>400</v>
      </c>
      <c r="C22" s="48">
        <f>Assumptions!$B$81</f>
        <v>400</v>
      </c>
      <c r="D22" s="48">
        <f>Assumptions!$B$81</f>
        <v>400</v>
      </c>
      <c r="E22" s="48">
        <f>Assumptions!$B$81</f>
        <v>400</v>
      </c>
      <c r="F22" s="48">
        <f>Assumptions!$B$81</f>
        <v>400</v>
      </c>
      <c r="G22" s="48">
        <f>Assumptions!$B$81</f>
        <v>400</v>
      </c>
      <c r="H22" s="48">
        <f>Assumptions!$B$81</f>
        <v>400</v>
      </c>
      <c r="I22" s="48">
        <f>Assumptions!$B$81</f>
        <v>400</v>
      </c>
      <c r="J22" s="48">
        <f>Assumptions!$B$81</f>
        <v>400</v>
      </c>
      <c r="K22" s="48">
        <f>Assumptions!$B$81</f>
        <v>400</v>
      </c>
      <c r="L22" s="48">
        <f>Assumptions!$B$81</f>
        <v>400</v>
      </c>
      <c r="M22" s="48">
        <f>Assumptions!$B$81</f>
        <v>400</v>
      </c>
      <c r="N22" s="48">
        <f>Assumptions!$B$81</f>
        <v>400</v>
      </c>
      <c r="O22" s="48">
        <f>Assumptions!$B$81</f>
        <v>400</v>
      </c>
      <c r="P22" s="48">
        <f>Assumptions!$B$81</f>
        <v>400</v>
      </c>
      <c r="Q22" s="48">
        <f>Assumptions!$B$81</f>
        <v>400</v>
      </c>
      <c r="R22" s="48">
        <f>Assumptions!$B$81</f>
        <v>400</v>
      </c>
      <c r="S22" s="48">
        <f>Assumptions!$B$81</f>
        <v>400</v>
      </c>
      <c r="T22" s="48">
        <f>Assumptions!$B$81</f>
        <v>400</v>
      </c>
      <c r="U22" s="48">
        <f>Assumptions!$B$81</f>
        <v>400</v>
      </c>
      <c r="V22" s="48">
        <f>Assumptions!$B$81</f>
        <v>400</v>
      </c>
      <c r="W22" s="48">
        <f>Assumptions!$B$81</f>
        <v>400</v>
      </c>
      <c r="X22" s="48">
        <f>Assumptions!$B$81</f>
        <v>400</v>
      </c>
      <c r="Y22" s="48">
        <f>Assumptions!$B$81</f>
        <v>400</v>
      </c>
      <c r="Z22" s="97">
        <f t="shared" si="0"/>
        <v>9600</v>
      </c>
      <c r="AB22" s="48"/>
    </row>
    <row r="23" ht="15" customHeight="1">
      <c r="A23" s="96" t="s">
        <v>408</v>
      </c>
      <c r="B23" s="48">
        <f>Assumptions!$B$82</f>
        <v>1000</v>
      </c>
      <c r="C23" s="48">
        <f>Assumptions!$B$82</f>
        <v>1000</v>
      </c>
      <c r="D23" s="48">
        <f>Assumptions!$B$82</f>
        <v>1000</v>
      </c>
      <c r="E23" s="48">
        <f>Assumptions!$B$82</f>
        <v>1000</v>
      </c>
      <c r="F23" s="48">
        <f>Assumptions!$B$82</f>
        <v>1000</v>
      </c>
      <c r="G23" s="48">
        <f>Assumptions!$B$82</f>
        <v>1000</v>
      </c>
      <c r="H23" s="48">
        <f>Assumptions!$B$82</f>
        <v>1000</v>
      </c>
      <c r="I23" s="48">
        <f>Assumptions!$B$82</f>
        <v>1000</v>
      </c>
      <c r="J23" s="48">
        <f>Assumptions!$B$82</f>
        <v>1000</v>
      </c>
      <c r="K23" s="48">
        <f>Assumptions!$B$82</f>
        <v>1000</v>
      </c>
      <c r="L23" s="48">
        <f>Assumptions!$B$82</f>
        <v>1000</v>
      </c>
      <c r="M23" s="48">
        <f>Assumptions!$B$82</f>
        <v>1000</v>
      </c>
      <c r="N23" s="48">
        <f>Assumptions!$B$82</f>
        <v>1000</v>
      </c>
      <c r="O23" s="48">
        <f>Assumptions!$B$82</f>
        <v>1000</v>
      </c>
      <c r="P23" s="48">
        <f>Assumptions!$B$82</f>
        <v>1000</v>
      </c>
      <c r="Q23" s="48">
        <f>Assumptions!$B$82</f>
        <v>1000</v>
      </c>
      <c r="R23" s="48">
        <f>Assumptions!$B$82</f>
        <v>1000</v>
      </c>
      <c r="S23" s="48">
        <f>Assumptions!$B$82</f>
        <v>1000</v>
      </c>
      <c r="T23" s="48">
        <f>Assumptions!$B$82</f>
        <v>1000</v>
      </c>
      <c r="U23" s="48">
        <f>Assumptions!$B$82</f>
        <v>1000</v>
      </c>
      <c r="V23" s="48">
        <f>Assumptions!$B$82</f>
        <v>1000</v>
      </c>
      <c r="W23" s="48">
        <f>Assumptions!$B$82</f>
        <v>1000</v>
      </c>
      <c r="X23" s="48">
        <f>Assumptions!$B$82</f>
        <v>1000</v>
      </c>
      <c r="Y23" s="48">
        <f>Assumptions!$B$82</f>
        <v>1000</v>
      </c>
      <c r="Z23" s="97">
        <f t="shared" si="0"/>
        <v>24000</v>
      </c>
      <c r="AB23" s="48"/>
    </row>
    <row r="24" ht="15" customHeight="1">
      <c r="A24" s="96" t="s">
        <v>256</v>
      </c>
      <c r="B24" s="48">
        <f>'Revenue by Niche'!B88*Assumptions!$B$83</f>
        <v>3562.327188</v>
      </c>
      <c r="C24" s="48">
        <f>'Revenue by Niche'!C88*Assumptions!$B$83</f>
        <v>3562.327188</v>
      </c>
      <c r="D24" s="48">
        <f>'Revenue by Niche'!D88*Assumptions!$B$83</f>
        <v>3562.327188</v>
      </c>
      <c r="E24" s="48">
        <f>'Revenue by Niche'!E88*Assumptions!$B$83</f>
        <v>6249.8972088</v>
      </c>
      <c r="F24" s="48">
        <f>'Revenue by Niche'!F88*Assumptions!$B$83</f>
        <v>6249.8972088</v>
      </c>
      <c r="G24" s="48">
        <f>'Revenue by Niche'!G88*Assumptions!$B$83</f>
        <v>6249.8972088</v>
      </c>
      <c r="H24" s="48">
        <f>'Revenue by Niche'!H88*Assumptions!$B$83</f>
        <v>10686.981564</v>
      </c>
      <c r="I24" s="48">
        <f>'Revenue by Niche'!I88*Assumptions!$B$83</f>
        <v>10686.981564</v>
      </c>
      <c r="J24" s="48">
        <f>'Revenue by Niche'!J88*Assumptions!$B$83</f>
        <v>10686.981564</v>
      </c>
      <c r="K24" s="48">
        <f>'Revenue by Niche'!K88*Assumptions!$B$83</f>
        <v>10686.981564</v>
      </c>
      <c r="L24" s="48">
        <f>'Revenue by Niche'!L88*Assumptions!$B$83</f>
        <v>10686.981564</v>
      </c>
      <c r="M24" s="48">
        <f>'Revenue by Niche'!M88*Assumptions!$B$83</f>
        <v>10686.981564</v>
      </c>
      <c r="N24" s="48">
        <f>'Revenue by Niche'!N88*Assumptions!$B$83</f>
        <v>16030.472346</v>
      </c>
      <c r="O24" s="48">
        <f>'Revenue by Niche'!O88*Assumptions!$B$83</f>
        <v>16030.472346</v>
      </c>
      <c r="P24" s="48">
        <f>'Revenue by Niche'!P88*Assumptions!$B$83</f>
        <v>16030.472346</v>
      </c>
      <c r="Q24" s="48">
        <f>'Revenue by Niche'!Q88*Assumptions!$B$83</f>
        <v>16030.472346</v>
      </c>
      <c r="R24" s="48">
        <f>'Revenue by Niche'!R88*Assumptions!$B$83</f>
        <v>16030.472346</v>
      </c>
      <c r="S24" s="48">
        <f>'Revenue by Niche'!S88*Assumptions!$B$83</f>
        <v>16030.472346</v>
      </c>
      <c r="T24" s="48">
        <f>'Revenue by Niche'!T88*Assumptions!$B$83</f>
        <v>21373.963128</v>
      </c>
      <c r="U24" s="48">
        <f>'Revenue by Niche'!U88*Assumptions!$B$83</f>
        <v>21373.963128</v>
      </c>
      <c r="V24" s="48">
        <f>'Revenue by Niche'!V88*Assumptions!$B$83</f>
        <v>21373.963128</v>
      </c>
      <c r="W24" s="48">
        <f>'Revenue by Niche'!W88*Assumptions!$B$83</f>
        <v>21373.963128</v>
      </c>
      <c r="X24" s="48">
        <f>'Revenue by Niche'!X88*Assumptions!$B$83</f>
        <v>21373.963128</v>
      </c>
      <c r="Y24" s="48">
        <f>'Revenue by Niche'!Y88*Assumptions!$B$83</f>
        <v>21373.963128</v>
      </c>
      <c r="Z24" s="97">
        <f t="shared" si="0"/>
        <v>317985.1754184</v>
      </c>
      <c r="AB24" s="48"/>
    </row>
    <row r="25" ht="15" customHeight="1">
      <c r="A25" s="96" t="s">
        <v>409</v>
      </c>
      <c r="B25" s="48">
        <f>Assumptions!$B$84</f>
        <v>600</v>
      </c>
      <c r="C25" s="48">
        <f>Assumptions!$B$84</f>
        <v>600</v>
      </c>
      <c r="D25" s="48">
        <f>Assumptions!$B$84</f>
        <v>600</v>
      </c>
      <c r="E25" s="48">
        <f>Assumptions!$B$84</f>
        <v>600</v>
      </c>
      <c r="F25" s="48">
        <f>Assumptions!$B$84</f>
        <v>600</v>
      </c>
      <c r="G25" s="48">
        <f>Assumptions!$B$84</f>
        <v>600</v>
      </c>
      <c r="H25" s="48">
        <f>Assumptions!$B$84</f>
        <v>600</v>
      </c>
      <c r="I25" s="48">
        <f>Assumptions!$B$84</f>
        <v>600</v>
      </c>
      <c r="J25" s="48">
        <f>Assumptions!$B$84</f>
        <v>600</v>
      </c>
      <c r="K25" s="48">
        <f>Assumptions!$B$84</f>
        <v>600</v>
      </c>
      <c r="L25" s="48">
        <f>Assumptions!$B$84</f>
        <v>600</v>
      </c>
      <c r="M25" s="48">
        <f>Assumptions!$B$84</f>
        <v>600</v>
      </c>
      <c r="N25" s="48">
        <f>Assumptions!$B$84</f>
        <v>600</v>
      </c>
      <c r="O25" s="48">
        <f>Assumptions!$B$84</f>
        <v>600</v>
      </c>
      <c r="P25" s="48">
        <f>Assumptions!$B$84</f>
        <v>600</v>
      </c>
      <c r="Q25" s="48">
        <f>Assumptions!$B$84</f>
        <v>600</v>
      </c>
      <c r="R25" s="48">
        <f>Assumptions!$B$84</f>
        <v>600</v>
      </c>
      <c r="S25" s="48">
        <f>Assumptions!$B$84</f>
        <v>600</v>
      </c>
      <c r="T25" s="48">
        <f>Assumptions!$B$84</f>
        <v>600</v>
      </c>
      <c r="U25" s="48">
        <f>Assumptions!$B$84</f>
        <v>600</v>
      </c>
      <c r="V25" s="48">
        <f>Assumptions!$B$84</f>
        <v>600</v>
      </c>
      <c r="W25" s="48">
        <f>Assumptions!$B$84</f>
        <v>600</v>
      </c>
      <c r="X25" s="48">
        <f>Assumptions!$B$84</f>
        <v>600</v>
      </c>
      <c r="Y25" s="48">
        <f>Assumptions!$B$84</f>
        <v>600</v>
      </c>
      <c r="Z25" s="97">
        <f t="shared" si="0"/>
        <v>14400</v>
      </c>
      <c r="AB25" s="48"/>
    </row>
    <row r="26" ht="15.75" customHeight="1">
      <c r="A26" s="130"/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48"/>
      <c r="AB26" s="48"/>
    </row>
    <row r="27" ht="15" customHeight="1">
      <c r="A27" s="132" t="s">
        <v>410</v>
      </c>
      <c r="B27" s="133">
        <f t="shared" si="4" ref="B27:Y27">SUM(B21:B25)</f>
        <v>6062.327188</v>
      </c>
      <c r="C27" s="133">
        <f t="shared" si="4"/>
        <v>6062.327188</v>
      </c>
      <c r="D27" s="133">
        <f t="shared" si="4"/>
        <v>6062.327188</v>
      </c>
      <c r="E27" s="133">
        <f t="shared" si="4"/>
        <v>8749.8972088</v>
      </c>
      <c r="F27" s="133">
        <f t="shared" si="4"/>
        <v>8749.8972088</v>
      </c>
      <c r="G27" s="133">
        <f t="shared" si="4"/>
        <v>8749.8972088</v>
      </c>
      <c r="H27" s="133">
        <f t="shared" si="4"/>
        <v>13186.981564</v>
      </c>
      <c r="I27" s="133">
        <f t="shared" si="4"/>
        <v>13186.981564</v>
      </c>
      <c r="J27" s="133">
        <f t="shared" si="4"/>
        <v>13186.981564</v>
      </c>
      <c r="K27" s="133">
        <f t="shared" si="4"/>
        <v>13186.981564</v>
      </c>
      <c r="L27" s="133">
        <f t="shared" si="4"/>
        <v>13186.981564</v>
      </c>
      <c r="M27" s="133">
        <f t="shared" si="4"/>
        <v>13186.981564</v>
      </c>
      <c r="N27" s="133">
        <f t="shared" si="4"/>
        <v>18530.472346</v>
      </c>
      <c r="O27" s="133">
        <f t="shared" si="4"/>
        <v>18530.472346</v>
      </c>
      <c r="P27" s="133">
        <f t="shared" si="4"/>
        <v>18530.472346</v>
      </c>
      <c r="Q27" s="133">
        <f t="shared" si="4"/>
        <v>18530.472346</v>
      </c>
      <c r="R27" s="133">
        <f t="shared" si="4"/>
        <v>18530.472346</v>
      </c>
      <c r="S27" s="133">
        <f t="shared" si="4"/>
        <v>18530.472346</v>
      </c>
      <c r="T27" s="133">
        <f t="shared" si="4"/>
        <v>23873.963128</v>
      </c>
      <c r="U27" s="133">
        <f t="shared" si="4"/>
        <v>23873.963128</v>
      </c>
      <c r="V27" s="133">
        <f t="shared" si="4"/>
        <v>23873.963128</v>
      </c>
      <c r="W27" s="133">
        <f t="shared" si="4"/>
        <v>23873.963128</v>
      </c>
      <c r="X27" s="133">
        <f t="shared" si="4"/>
        <v>23873.963128</v>
      </c>
      <c r="Y27" s="133">
        <f t="shared" si="4"/>
        <v>23873.963128</v>
      </c>
      <c r="Z27" s="100">
        <f t="shared" si="0"/>
        <v>377985.1754184</v>
      </c>
      <c r="AB27" s="48"/>
    </row>
    <row r="28" ht="15.75" customHeight="1">
      <c r="A28" s="96" t="s">
        <v>411</v>
      </c>
      <c r="B28" s="48">
        <f t="shared" si="5"/>
        <v>6062.327188</v>
      </c>
      <c r="C28" s="48">
        <f t="shared" si="3"/>
        <v>12124.654376</v>
      </c>
      <c r="D28" s="48">
        <f t="shared" si="3"/>
        <v>18186.981564</v>
      </c>
      <c r="E28" s="48">
        <f t="shared" si="3"/>
        <v>26936.8787728</v>
      </c>
      <c r="F28" s="48">
        <f t="shared" si="3"/>
        <v>35686.7759816</v>
      </c>
      <c r="G28" s="48">
        <f t="shared" si="3"/>
        <v>44436.6731904</v>
      </c>
      <c r="H28" s="48">
        <f t="shared" si="3"/>
        <v>57623.6547544</v>
      </c>
      <c r="I28" s="48">
        <f t="shared" si="3"/>
        <v>70810.6363184</v>
      </c>
      <c r="J28" s="48">
        <f t="shared" si="3"/>
        <v>83997.6178824</v>
      </c>
      <c r="K28" s="48">
        <f t="shared" si="3"/>
        <v>97184.5994464</v>
      </c>
      <c r="L28" s="48">
        <f t="shared" si="3"/>
        <v>110371.5810104</v>
      </c>
      <c r="M28" s="48">
        <f t="shared" si="3"/>
        <v>123558.5625744</v>
      </c>
      <c r="N28" s="48">
        <f t="shared" si="3"/>
        <v>142089.0349204</v>
      </c>
      <c r="O28" s="48">
        <f t="shared" si="3"/>
        <v>160619.5072664</v>
      </c>
      <c r="P28" s="48">
        <f t="shared" si="3"/>
        <v>179149.9796124</v>
      </c>
      <c r="Q28" s="48">
        <f t="shared" si="3"/>
        <v>197680.4519584</v>
      </c>
      <c r="R28" s="48">
        <f t="shared" si="3"/>
        <v>216210.9243044</v>
      </c>
      <c r="S28" s="48">
        <f t="shared" si="3"/>
        <v>234741.3966504</v>
      </c>
      <c r="T28" s="48">
        <f t="shared" si="3"/>
        <v>258615.3597784</v>
      </c>
      <c r="U28" s="48">
        <f t="shared" si="3"/>
        <v>282489.3229064</v>
      </c>
      <c r="V28" s="48">
        <f t="shared" si="3"/>
        <v>306363.2860344</v>
      </c>
      <c r="W28" s="48">
        <f t="shared" si="3"/>
        <v>330237.2491624</v>
      </c>
      <c r="X28" s="48">
        <f t="shared" si="3"/>
        <v>354111.2122904</v>
      </c>
      <c r="Y28" s="48">
        <f t="shared" si="3"/>
        <v>377985.1754184</v>
      </c>
      <c r="Z28" s="97">
        <f t="shared" si="6"/>
        <v>377985.1754184</v>
      </c>
      <c r="AB28" s="48"/>
    </row>
    <row r="29" ht="15" customHeight="1">
      <c r="A29" s="15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B29" s="48"/>
    </row>
    <row r="30" ht="15.75" customHeight="1">
      <c r="A30" s="104" t="s">
        <v>412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B30" s="48"/>
    </row>
    <row r="31" ht="15.75" customHeight="1">
      <c r="A31" s="134" t="s">
        <v>413</v>
      </c>
      <c r="B31" s="135">
        <f t="shared" si="7" ref="B31:Y31">B17+B27</f>
        <v>22262.327188</v>
      </c>
      <c r="C31" s="135">
        <f t="shared" si="7"/>
        <v>22262.327188</v>
      </c>
      <c r="D31" s="135">
        <f t="shared" si="7"/>
        <v>23612.327188</v>
      </c>
      <c r="E31" s="135">
        <f t="shared" si="7"/>
        <v>27649.8972088</v>
      </c>
      <c r="F31" s="135">
        <f t="shared" si="7"/>
        <v>27649.8972088</v>
      </c>
      <c r="G31" s="135">
        <f t="shared" si="7"/>
        <v>28729.8972088</v>
      </c>
      <c r="H31" s="135">
        <f t="shared" si="7"/>
        <v>33166.981564</v>
      </c>
      <c r="I31" s="135">
        <f t="shared" si="7"/>
        <v>33166.981564</v>
      </c>
      <c r="J31" s="135">
        <f t="shared" si="7"/>
        <v>33166.981564</v>
      </c>
      <c r="K31" s="135">
        <f t="shared" si="7"/>
        <v>33166.981564</v>
      </c>
      <c r="L31" s="135">
        <f t="shared" si="7"/>
        <v>33166.981564</v>
      </c>
      <c r="M31" s="135">
        <f t="shared" si="7"/>
        <v>33166.981564</v>
      </c>
      <c r="N31" s="135">
        <f t="shared" si="7"/>
        <v>38510.472346</v>
      </c>
      <c r="O31" s="135">
        <f t="shared" si="7"/>
        <v>38510.472346</v>
      </c>
      <c r="P31" s="135">
        <f t="shared" si="7"/>
        <v>38510.472346</v>
      </c>
      <c r="Q31" s="135">
        <f t="shared" si="7"/>
        <v>38510.472346</v>
      </c>
      <c r="R31" s="135">
        <f t="shared" si="7"/>
        <v>38510.472346</v>
      </c>
      <c r="S31" s="135">
        <f t="shared" si="7"/>
        <v>38510.472346</v>
      </c>
      <c r="T31" s="135">
        <f t="shared" si="7"/>
        <v>43853.963128</v>
      </c>
      <c r="U31" s="135">
        <f t="shared" si="7"/>
        <v>43853.963128</v>
      </c>
      <c r="V31" s="135">
        <f t="shared" si="7"/>
        <v>43853.963128</v>
      </c>
      <c r="W31" s="135">
        <f t="shared" si="7"/>
        <v>43853.963128</v>
      </c>
      <c r="X31" s="135">
        <f t="shared" si="7"/>
        <v>43853.963128</v>
      </c>
      <c r="Y31" s="135">
        <f t="shared" si="7"/>
        <v>43853.963128</v>
      </c>
      <c r="Z31" s="100">
        <f t="shared" si="0"/>
        <v>845355.1754184</v>
      </c>
      <c r="AB31" s="48"/>
    </row>
    <row r="32" ht="15" customHeight="1">
      <c r="A32" s="96" t="s">
        <v>414</v>
      </c>
      <c r="B32" s="113">
        <f t="shared" si="5"/>
        <v>22262.327188</v>
      </c>
      <c r="C32" s="113">
        <f t="shared" si="3"/>
        <v>44524.654376</v>
      </c>
      <c r="D32" s="113">
        <f t="shared" si="3"/>
        <v>68136.981564</v>
      </c>
      <c r="E32" s="113">
        <f t="shared" si="3"/>
        <v>95786.8787728</v>
      </c>
      <c r="F32" s="113">
        <f t="shared" si="3"/>
        <v>123436.7759816</v>
      </c>
      <c r="G32" s="113">
        <f t="shared" si="3"/>
        <v>152166.6731904</v>
      </c>
      <c r="H32" s="113">
        <f t="shared" si="3"/>
        <v>185333.6547544</v>
      </c>
      <c r="I32" s="113">
        <f t="shared" si="3"/>
        <v>218500.6363184</v>
      </c>
      <c r="J32" s="113">
        <f t="shared" si="3"/>
        <v>251667.6178824</v>
      </c>
      <c r="K32" s="113">
        <f t="shared" si="3"/>
        <v>284834.5994464</v>
      </c>
      <c r="L32" s="113">
        <f t="shared" si="3"/>
        <v>318001.5810104</v>
      </c>
      <c r="M32" s="113">
        <f t="shared" si="3"/>
        <v>351168.5625744</v>
      </c>
      <c r="N32" s="113">
        <f t="shared" si="3"/>
        <v>389679.0349204</v>
      </c>
      <c r="O32" s="113">
        <f t="shared" si="3"/>
        <v>428189.5072664</v>
      </c>
      <c r="P32" s="113">
        <f t="shared" si="3"/>
        <v>466699.9796124</v>
      </c>
      <c r="Q32" s="113">
        <f t="shared" si="3"/>
        <v>505210.4519584</v>
      </c>
      <c r="R32" s="113">
        <f t="shared" si="3"/>
        <v>543720.9243044</v>
      </c>
      <c r="S32" s="113">
        <f t="shared" si="3"/>
        <v>582231.3966504</v>
      </c>
      <c r="T32" s="113">
        <f t="shared" si="3"/>
        <v>626085.3597784</v>
      </c>
      <c r="U32" s="113">
        <f t="shared" si="3"/>
        <v>669939.3229064</v>
      </c>
      <c r="V32" s="113">
        <f t="shared" si="3"/>
        <v>713793.2860344</v>
      </c>
      <c r="W32" s="113">
        <f t="shared" si="3"/>
        <v>757647.2491624</v>
      </c>
      <c r="X32" s="113">
        <f t="shared" si="3"/>
        <v>801501.2122904</v>
      </c>
      <c r="Y32" s="113">
        <f t="shared" si="3"/>
        <v>845355.1754184</v>
      </c>
      <c r="Z32" s="97">
        <f t="shared" si="6"/>
        <v>845355.1754184</v>
      </c>
      <c r="AB32" s="48"/>
    </row>
    <row r="33" ht="15" customHeight="1">
      <c r="A33" s="96" t="s">
        <v>415</v>
      </c>
      <c r="B33" s="136">
        <f>IF('Accounts &amp; Traffic'!B14=0,0,B31/'Accounts &amp; Traffic'!B14)</f>
        <v>111.31163594</v>
      </c>
      <c r="C33" s="136">
        <f>IF('Accounts &amp; Traffic'!C14=0,0,C31/'Accounts &amp; Traffic'!C14)</f>
        <v>111.31163594</v>
      </c>
      <c r="D33" s="136">
        <f>IF('Accounts &amp; Traffic'!D14=0,0,D31/'Accounts &amp; Traffic'!D14)</f>
        <v>118.06163594</v>
      </c>
      <c r="E33" s="136">
        <f>IF('Accounts &amp; Traffic'!E14=0,0,E31/'Accounts &amp; Traffic'!E14)</f>
        <v>78.9997063108571</v>
      </c>
      <c r="F33" s="136">
        <f>IF('Accounts &amp; Traffic'!F14=0,0,F31/'Accounts &amp; Traffic'!F14)</f>
        <v>78.9997063108571</v>
      </c>
      <c r="G33" s="136">
        <f>IF('Accounts &amp; Traffic'!G14=0,0,G31/'Accounts &amp; Traffic'!G14)</f>
        <v>82.0854205965714</v>
      </c>
      <c r="H33" s="136">
        <f>IF('Accounts &amp; Traffic'!H14=0,0,H31/'Accounts &amp; Traffic'!H14)</f>
        <v>55.2783026066667</v>
      </c>
      <c r="I33" s="136">
        <f>IF('Accounts &amp; Traffic'!I14=0,0,I31/'Accounts &amp; Traffic'!I14)</f>
        <v>55.2783026066667</v>
      </c>
      <c r="J33" s="136">
        <f>IF('Accounts &amp; Traffic'!J14=0,0,J31/'Accounts &amp; Traffic'!J14)</f>
        <v>55.2783026066667</v>
      </c>
      <c r="K33" s="136">
        <f>IF('Accounts &amp; Traffic'!K14=0,0,K31/'Accounts &amp; Traffic'!K14)</f>
        <v>55.2783026066667</v>
      </c>
      <c r="L33" s="136">
        <f>IF('Accounts &amp; Traffic'!L14=0,0,L31/'Accounts &amp; Traffic'!L14)</f>
        <v>55.2783026066667</v>
      </c>
      <c r="M33" s="136">
        <f>IF('Accounts &amp; Traffic'!M14=0,0,M31/'Accounts &amp; Traffic'!M14)</f>
        <v>55.2783026066667</v>
      </c>
      <c r="N33" s="136">
        <f>IF('Accounts &amp; Traffic'!N14=0,0,N31/'Accounts &amp; Traffic'!N14)</f>
        <v>42.7894137177778</v>
      </c>
      <c r="O33" s="136">
        <f>IF('Accounts &amp; Traffic'!O14=0,0,O31/'Accounts &amp; Traffic'!O14)</f>
        <v>42.7894137177778</v>
      </c>
      <c r="P33" s="136">
        <f>IF('Accounts &amp; Traffic'!P14=0,0,P31/'Accounts &amp; Traffic'!P14)</f>
        <v>42.7894137177778</v>
      </c>
      <c r="Q33" s="136">
        <f>IF('Accounts &amp; Traffic'!Q14=0,0,Q31/'Accounts &amp; Traffic'!Q14)</f>
        <v>42.7894137177778</v>
      </c>
      <c r="R33" s="136">
        <f>IF('Accounts &amp; Traffic'!R14=0,0,R31/'Accounts &amp; Traffic'!R14)</f>
        <v>42.7894137177778</v>
      </c>
      <c r="S33" s="136">
        <f>IF('Accounts &amp; Traffic'!S14=0,0,S31/'Accounts &amp; Traffic'!S14)</f>
        <v>42.7894137177778</v>
      </c>
      <c r="T33" s="136">
        <f>IF('Accounts &amp; Traffic'!T14=0,0,T31/'Accounts &amp; Traffic'!T14)</f>
        <v>36.5449692733333</v>
      </c>
      <c r="U33" s="136">
        <f>IF('Accounts &amp; Traffic'!U14=0,0,U31/'Accounts &amp; Traffic'!U14)</f>
        <v>36.5449692733333</v>
      </c>
      <c r="V33" s="136">
        <f>IF('Accounts &amp; Traffic'!V14=0,0,V31/'Accounts &amp; Traffic'!V14)</f>
        <v>36.5449692733333</v>
      </c>
      <c r="W33" s="136">
        <f>IF('Accounts &amp; Traffic'!W14=0,0,W31/'Accounts &amp; Traffic'!W14)</f>
        <v>36.5449692733333</v>
      </c>
      <c r="X33" s="136">
        <f>IF('Accounts &amp; Traffic'!X14=0,0,X31/'Accounts &amp; Traffic'!X14)</f>
        <v>36.5449692733333</v>
      </c>
      <c r="Y33" s="136">
        <f>IF('Accounts &amp; Traffic'!Y14=0,0,Y31/'Accounts &amp; Traffic'!Y14)</f>
        <v>36.5449692733333</v>
      </c>
      <c r="Z33" s="97">
        <f t="shared" si="9" ref="Z33:Z39">AVERAGE(B33:Y33)</f>
        <v>57.851910609373</v>
      </c>
      <c r="AB33" s="48"/>
    </row>
    <row r="34" ht="15" customHeight="1">
      <c r="Z34" s="48"/>
      <c r="AB34" s="48"/>
    </row>
    <row r="35" ht="15.75" customHeight="1">
      <c r="A35" s="137" t="s">
        <v>416</v>
      </c>
      <c r="AB35" s="48"/>
    </row>
    <row r="36" ht="15" customHeight="1">
      <c r="A36" s="96" t="s">
        <v>417</v>
      </c>
      <c r="B36" s="40">
        <f t="shared" si="8" ref="B36:Y36">SUMPRODUCT(--(B6:B15&gt;0))</f>
        <v>6</v>
      </c>
      <c r="C36" s="40">
        <f t="shared" si="8"/>
        <v>6</v>
      </c>
      <c r="D36" s="40">
        <f t="shared" si="8"/>
        <v>7</v>
      </c>
      <c r="E36" s="40">
        <f t="shared" si="8"/>
        <v>8</v>
      </c>
      <c r="F36" s="40">
        <f t="shared" si="8"/>
        <v>8</v>
      </c>
      <c r="G36" s="40">
        <f t="shared" si="8"/>
        <v>9</v>
      </c>
      <c r="H36" s="40">
        <f t="shared" si="8"/>
        <v>9</v>
      </c>
      <c r="I36" s="40">
        <f t="shared" si="8"/>
        <v>9</v>
      </c>
      <c r="J36" s="40">
        <f t="shared" si="8"/>
        <v>9</v>
      </c>
      <c r="K36" s="40">
        <f t="shared" si="8"/>
        <v>9</v>
      </c>
      <c r="L36" s="40">
        <f t="shared" si="8"/>
        <v>9</v>
      </c>
      <c r="M36" s="40">
        <f t="shared" si="8"/>
        <v>9</v>
      </c>
      <c r="N36" s="40">
        <f t="shared" si="8"/>
        <v>9</v>
      </c>
      <c r="O36" s="40">
        <f t="shared" si="8"/>
        <v>9</v>
      </c>
      <c r="P36" s="40">
        <f t="shared" si="8"/>
        <v>9</v>
      </c>
      <c r="Q36" s="40">
        <f t="shared" si="8"/>
        <v>9</v>
      </c>
      <c r="R36" s="40">
        <f t="shared" si="8"/>
        <v>9</v>
      </c>
      <c r="S36" s="40">
        <f t="shared" si="8"/>
        <v>9</v>
      </c>
      <c r="T36" s="40">
        <f t="shared" si="8"/>
        <v>9</v>
      </c>
      <c r="U36" s="40">
        <f t="shared" si="8"/>
        <v>9</v>
      </c>
      <c r="V36" s="40">
        <f t="shared" si="8"/>
        <v>9</v>
      </c>
      <c r="W36" s="40">
        <f t="shared" si="8"/>
        <v>9</v>
      </c>
      <c r="X36" s="40">
        <f t="shared" si="8"/>
        <v>9</v>
      </c>
      <c r="Y36" s="40">
        <f t="shared" si="8"/>
        <v>9</v>
      </c>
      <c r="Z36" s="138">
        <f t="shared" si="9"/>
        <v>8.58333333333333</v>
      </c>
      <c r="AB36" s="48"/>
    </row>
    <row r="37" ht="15" customHeight="1">
      <c r="A37" s="96" t="s">
        <v>418</v>
      </c>
      <c r="B37" s="48">
        <f>IF(B36=0,0,'Accounts &amp; Traffic'!B14/B36)</f>
        <v>33.3333333333333</v>
      </c>
      <c r="C37" s="48">
        <f>IF(C36=0,0,'Accounts &amp; Traffic'!C14/C36)</f>
        <v>33.3333333333333</v>
      </c>
      <c r="D37" s="48">
        <f>IF(D36=0,0,'Accounts &amp; Traffic'!D14/D36)</f>
        <v>28.5714285714286</v>
      </c>
      <c r="E37" s="48">
        <f>IF(E36=0,0,'Accounts &amp; Traffic'!E14/E36)</f>
        <v>43.75</v>
      </c>
      <c r="F37" s="48">
        <f>IF(F36=0,0,'Accounts &amp; Traffic'!F14/F36)</f>
        <v>43.75</v>
      </c>
      <c r="G37" s="48">
        <f>IF(G36=0,0,'Accounts &amp; Traffic'!G14/G36)</f>
        <v>38.8888888888889</v>
      </c>
      <c r="H37" s="48">
        <f>IF(H36=0,0,'Accounts &amp; Traffic'!H14/H36)</f>
        <v>66.6666666666667</v>
      </c>
      <c r="I37" s="48">
        <f>IF(I36=0,0,'Accounts &amp; Traffic'!I14/I36)</f>
        <v>66.6666666666667</v>
      </c>
      <c r="J37" s="48">
        <f>IF(J36=0,0,'Accounts &amp; Traffic'!J14/J36)</f>
        <v>66.6666666666667</v>
      </c>
      <c r="K37" s="48">
        <f>IF(K36=0,0,'Accounts &amp; Traffic'!K14/K36)</f>
        <v>66.6666666666667</v>
      </c>
      <c r="L37" s="48">
        <f>IF(L36=0,0,'Accounts &amp; Traffic'!L14/L36)</f>
        <v>66.6666666666667</v>
      </c>
      <c r="M37" s="48">
        <f>IF(M36=0,0,'Accounts &amp; Traffic'!M14/M36)</f>
        <v>66.6666666666667</v>
      </c>
      <c r="N37" s="48">
        <f>IF(N36=0,0,'Accounts &amp; Traffic'!N14/N36)</f>
        <v>100</v>
      </c>
      <c r="O37" s="48">
        <f>IF(O36=0,0,'Accounts &amp; Traffic'!O14/O36)</f>
        <v>100</v>
      </c>
      <c r="P37" s="48">
        <f>IF(P36=0,0,'Accounts &amp; Traffic'!P14/P36)</f>
        <v>100</v>
      </c>
      <c r="Q37" s="48">
        <f>IF(Q36=0,0,'Accounts &amp; Traffic'!Q14/Q36)</f>
        <v>100</v>
      </c>
      <c r="R37" s="48">
        <f>IF(R36=0,0,'Accounts &amp; Traffic'!R14/R36)</f>
        <v>100</v>
      </c>
      <c r="S37" s="48">
        <f>IF(S36=0,0,'Accounts &amp; Traffic'!S14/S36)</f>
        <v>100</v>
      </c>
      <c r="T37" s="48">
        <f>IF(T36=0,0,'Accounts &amp; Traffic'!T14/T36)</f>
        <v>133.333333333333</v>
      </c>
      <c r="U37" s="48">
        <f>IF(U36=0,0,'Accounts &amp; Traffic'!U14/U36)</f>
        <v>133.333333333333</v>
      </c>
      <c r="V37" s="48">
        <f>IF(V36=0,0,'Accounts &amp; Traffic'!V14/V36)</f>
        <v>133.333333333333</v>
      </c>
      <c r="W37" s="48">
        <f>IF(W36=0,0,'Accounts &amp; Traffic'!W14/W36)</f>
        <v>133.333333333333</v>
      </c>
      <c r="X37" s="48">
        <f>IF(X36=0,0,'Accounts &amp; Traffic'!X14/X36)</f>
        <v>133.333333333333</v>
      </c>
      <c r="Y37" s="48">
        <f>IF(Y36=0,0,'Accounts &amp; Traffic'!Y14/Y36)</f>
        <v>133.333333333333</v>
      </c>
      <c r="Z37" s="138">
        <f t="shared" si="9"/>
        <v>84.2344576719576</v>
      </c>
      <c r="AB37" s="48"/>
    </row>
    <row r="38" ht="15" customHeight="1">
      <c r="A38" s="96" t="s">
        <v>419</v>
      </c>
      <c r="B38" s="48">
        <f>IF(B36=0,0,'Revenue by Niche'!B88/B36)</f>
        <v>5937.21198</v>
      </c>
      <c r="C38" s="48">
        <f>IF(C36=0,0,'Revenue by Niche'!C88/C36)</f>
        <v>5937.21198</v>
      </c>
      <c r="D38" s="48">
        <f>IF(D36=0,0,'Revenue by Niche'!D88/D36)</f>
        <v>5089.03884</v>
      </c>
      <c r="E38" s="48">
        <f>IF(E36=0,0,'Revenue by Niche'!E88/E36)</f>
        <v>7812.371511</v>
      </c>
      <c r="F38" s="48">
        <f>IF(F36=0,0,'Revenue by Niche'!F88/F36)</f>
        <v>7812.371511</v>
      </c>
      <c r="G38" s="48">
        <f>IF(G36=0,0,'Revenue by Niche'!G88/G36)</f>
        <v>6944.330232</v>
      </c>
      <c r="H38" s="48">
        <f>IF(H36=0,0,'Revenue by Niche'!H88/H36)</f>
        <v>11874.42396</v>
      </c>
      <c r="I38" s="48">
        <f>IF(I36=0,0,'Revenue by Niche'!I88/I36)</f>
        <v>11874.42396</v>
      </c>
      <c r="J38" s="48">
        <f>IF(J36=0,0,'Revenue by Niche'!J88/J36)</f>
        <v>11874.42396</v>
      </c>
      <c r="K38" s="48">
        <f>IF(K36=0,0,'Revenue by Niche'!K88/K36)</f>
        <v>11874.42396</v>
      </c>
      <c r="L38" s="48">
        <f>IF(L36=0,0,'Revenue by Niche'!L88/L36)</f>
        <v>11874.42396</v>
      </c>
      <c r="M38" s="48">
        <f>IF(M36=0,0,'Revenue by Niche'!M88/M36)</f>
        <v>11874.42396</v>
      </c>
      <c r="N38" s="48">
        <f>IF(N36=0,0,'Revenue by Niche'!N88/N36)</f>
        <v>17811.63594</v>
      </c>
      <c r="O38" s="48">
        <f>IF(O36=0,0,'Revenue by Niche'!O88/O36)</f>
        <v>17811.63594</v>
      </c>
      <c r="P38" s="48">
        <f>IF(P36=0,0,'Revenue by Niche'!P88/P36)</f>
        <v>17811.63594</v>
      </c>
      <c r="Q38" s="48">
        <f>IF(Q36=0,0,'Revenue by Niche'!Q88/Q36)</f>
        <v>17811.63594</v>
      </c>
      <c r="R38" s="48">
        <f>IF(R36=0,0,'Revenue by Niche'!R88/R36)</f>
        <v>17811.63594</v>
      </c>
      <c r="S38" s="48">
        <f>IF(S36=0,0,'Revenue by Niche'!S88/S36)</f>
        <v>17811.63594</v>
      </c>
      <c r="T38" s="48">
        <f>IF(T36=0,0,'Revenue by Niche'!T88/T36)</f>
        <v>23748.84792</v>
      </c>
      <c r="U38" s="48">
        <f>IF(U36=0,0,'Revenue by Niche'!U88/U36)</f>
        <v>23748.84792</v>
      </c>
      <c r="V38" s="48">
        <f>IF(V36=0,0,'Revenue by Niche'!V88/V36)</f>
        <v>23748.84792</v>
      </c>
      <c r="W38" s="48">
        <f>IF(W36=0,0,'Revenue by Niche'!W88/W36)</f>
        <v>23748.84792</v>
      </c>
      <c r="X38" s="48">
        <f>IF(X36=0,0,'Revenue by Niche'!X88/X36)</f>
        <v>23748.84792</v>
      </c>
      <c r="Y38" s="48">
        <f>IF(Y36=0,0,'Revenue by Niche'!Y88/Y36)</f>
        <v>23748.84792</v>
      </c>
      <c r="Z38" s="138">
        <f t="shared" si="9"/>
        <v>15005.91595725</v>
      </c>
      <c r="AB38" s="48"/>
    </row>
    <row r="39" ht="15" customHeight="1">
      <c r="A39" s="96" t="s">
        <v>420</v>
      </c>
      <c r="B39" s="48">
        <f t="shared" si="10" ref="B39:Y39">IF(B36=0,0,B31/B36)</f>
        <v>3710.38786466667</v>
      </c>
      <c r="C39" s="48">
        <f t="shared" si="10"/>
        <v>3710.38786466667</v>
      </c>
      <c r="D39" s="48">
        <f t="shared" si="10"/>
        <v>3373.18959828571</v>
      </c>
      <c r="E39" s="48">
        <f t="shared" si="10"/>
        <v>3456.2371511</v>
      </c>
      <c r="F39" s="48">
        <f t="shared" si="10"/>
        <v>3456.2371511</v>
      </c>
      <c r="G39" s="48">
        <f t="shared" si="10"/>
        <v>3192.21080097778</v>
      </c>
      <c r="H39" s="48">
        <f t="shared" si="10"/>
        <v>3685.22017377778</v>
      </c>
      <c r="I39" s="48">
        <f t="shared" si="10"/>
        <v>3685.22017377778</v>
      </c>
      <c r="J39" s="48">
        <f t="shared" si="10"/>
        <v>3685.22017377778</v>
      </c>
      <c r="K39" s="48">
        <f t="shared" si="10"/>
        <v>3685.22017377778</v>
      </c>
      <c r="L39" s="48">
        <f t="shared" si="10"/>
        <v>3685.22017377778</v>
      </c>
      <c r="M39" s="48">
        <f t="shared" si="10"/>
        <v>3685.22017377778</v>
      </c>
      <c r="N39" s="48">
        <f t="shared" si="10"/>
        <v>4278.94137177778</v>
      </c>
      <c r="O39" s="48">
        <f t="shared" si="10"/>
        <v>4278.94137177778</v>
      </c>
      <c r="P39" s="48">
        <f t="shared" si="10"/>
        <v>4278.94137177778</v>
      </c>
      <c r="Q39" s="48">
        <f t="shared" si="10"/>
        <v>4278.94137177778</v>
      </c>
      <c r="R39" s="48">
        <f t="shared" si="10"/>
        <v>4278.94137177778</v>
      </c>
      <c r="S39" s="48">
        <f t="shared" si="10"/>
        <v>4278.94137177778</v>
      </c>
      <c r="T39" s="48">
        <f t="shared" si="10"/>
        <v>4872.66256977778</v>
      </c>
      <c r="U39" s="48">
        <f t="shared" si="10"/>
        <v>4872.66256977778</v>
      </c>
      <c r="V39" s="48">
        <f t="shared" si="10"/>
        <v>4872.66256977778</v>
      </c>
      <c r="W39" s="48">
        <f t="shared" si="10"/>
        <v>4872.66256977778</v>
      </c>
      <c r="X39" s="48">
        <f t="shared" si="10"/>
        <v>4872.66256977778</v>
      </c>
      <c r="Y39" s="48">
        <f t="shared" si="10"/>
        <v>4872.66256977778</v>
      </c>
      <c r="Z39" s="138">
        <f t="shared" si="9"/>
        <v>4079.98313011654</v>
      </c>
      <c r="AB39" s="48"/>
    </row>
    <row r="42" ht="15" customHeight="1">
      <c r="A42" s="139" t="s">
        <v>421</v>
      </c>
    </row>
  </sheetData>
  <mergeCells>
    <mergeCell ref="AA4:AB4"/>
    <mergeCell ref="A1:Z1"/>
    <mergeCell ref="A2:Z2"/>
    <mergeCell ref="A5:Z5"/>
    <mergeCell ref="A20:Z20"/>
    <mergeCell ref="A30:Z30"/>
    <mergeCell ref="A35:Z35"/>
    <mergeCell ref="A42:Z42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40CD28-7818-EB41-F8C8-B2F1D58D9C5E}" mc:Ignorable="x14ac xr xr2 xr3">
  <dimension ref="A1:GR1000"/>
  <sheetViews>
    <sheetView workbookViewId="0">
      <pane xSplit="1" ySplit="5" topLeftCell="V6" activePane="bottomRight" state="frozen"/>
      <selection pane="bottomLeft" activeCell="A6" sqref="A6"/>
      <selection pane="topRight" activeCell="B1" sqref="B1"/>
      <selection pane="bottomRight" activeCell="A1" sqref="A1:Z1"/>
    </sheetView>
  </sheetViews>
  <sheetFormatPr defaultRowHeight="15" defaultColWidth="8.8515625" customHeight="1"/>
  <cols>
    <col min="1" max="1" width="42.8515625" customWidth="1"/>
    <col min="2" max="25" width="12.8515625" customWidth="1"/>
    <col min="26" max="26" width="20.00390625" customWidth="1"/>
    <col min="27" max="27" width="28.57421875" customWidth="1"/>
    <col min="28" max="28" width="17.140625" customWidth="1"/>
  </cols>
  <sheetData>
    <row r="1" ht="18.75" customHeight="1">
      <c r="A1" s="68" t="s">
        <v>422</v>
      </c>
      <c r="Z1" s="55"/>
    </row>
    <row r="2" ht="15.75" customHeight="1">
      <c r="A2" s="91" t="s">
        <v>423</v>
      </c>
      <c r="Z2" s="55"/>
    </row>
    <row r="3" ht="15" customHeight="1">
      <c r="Z3" s="55"/>
    </row>
    <row r="4" ht="15.75" customHeight="1">
      <c r="A4" s="140" t="s">
        <v>424</v>
      </c>
      <c r="B4" s="140" t="s">
        <v>270</v>
      </c>
      <c r="C4" s="140" t="s">
        <v>271</v>
      </c>
      <c r="D4" s="140" t="s">
        <v>272</v>
      </c>
      <c r="E4" s="140" t="s">
        <v>15</v>
      </c>
      <c r="F4" s="140" t="s">
        <v>273</v>
      </c>
      <c r="G4" s="140" t="s">
        <v>274</v>
      </c>
      <c r="H4" s="140" t="s">
        <v>275</v>
      </c>
      <c r="I4" s="140" t="s">
        <v>276</v>
      </c>
      <c r="J4" s="140" t="s">
        <v>277</v>
      </c>
      <c r="K4" s="140" t="s">
        <v>278</v>
      </c>
      <c r="L4" s="140" t="s">
        <v>279</v>
      </c>
      <c r="M4" s="140" t="s">
        <v>280</v>
      </c>
      <c r="N4" s="140" t="s">
        <v>281</v>
      </c>
      <c r="O4" s="140" t="s">
        <v>282</v>
      </c>
      <c r="P4" s="140" t="s">
        <v>283</v>
      </c>
      <c r="Q4" s="140" t="s">
        <v>284</v>
      </c>
      <c r="R4" s="140" t="s">
        <v>285</v>
      </c>
      <c r="S4" s="140" t="s">
        <v>286</v>
      </c>
      <c r="T4" s="140" t="s">
        <v>287</v>
      </c>
      <c r="U4" s="140" t="s">
        <v>288</v>
      </c>
      <c r="V4" s="140" t="s">
        <v>289</v>
      </c>
      <c r="W4" s="140" t="s">
        <v>290</v>
      </c>
      <c r="X4" s="140" t="s">
        <v>291</v>
      </c>
      <c r="Y4" s="140" t="s">
        <v>292</v>
      </c>
      <c r="Z4" s="141" t="s">
        <v>340</v>
      </c>
      <c r="AA4" s="142"/>
    </row>
    <row r="5" ht="15.75" customHeight="1">
      <c r="A5" s="143" t="s">
        <v>425</v>
      </c>
      <c r="Z5" s="55"/>
      <c r="AA5" s="144"/>
      <c r="AB5" s="145">
        <f>SUM(B7:Y7)</f>
        <v>3179851.754184</v>
      </c>
    </row>
    <row r="6" ht="15" customHeight="1">
      <c r="A6" s="146" t="s">
        <v>426</v>
      </c>
      <c r="B6" s="147">
        <f>'Revenue by Niche'!B88</f>
        <v>35623.27188</v>
      </c>
      <c r="C6" s="147">
        <f>'Revenue by Niche'!C88</f>
        <v>35623.27188</v>
      </c>
      <c r="D6" s="147">
        <f>'Revenue by Niche'!D88</f>
        <v>35623.27188</v>
      </c>
      <c r="E6" s="147">
        <f>'Revenue by Niche'!E88</f>
        <v>62498.972088</v>
      </c>
      <c r="F6" s="147">
        <f>'Revenue by Niche'!F88</f>
        <v>62498.972088</v>
      </c>
      <c r="G6" s="147">
        <f>'Revenue by Niche'!G88</f>
        <v>62498.972088</v>
      </c>
      <c r="H6" s="147">
        <f>'Revenue by Niche'!H88</f>
        <v>106869.81564</v>
      </c>
      <c r="I6" s="147">
        <f>'Revenue by Niche'!I88</f>
        <v>106869.81564</v>
      </c>
      <c r="J6" s="147">
        <f>'Revenue by Niche'!J88</f>
        <v>106869.81564</v>
      </c>
      <c r="K6" s="147">
        <f>'Revenue by Niche'!K88</f>
        <v>106869.81564</v>
      </c>
      <c r="L6" s="147">
        <f>'Revenue by Niche'!L88</f>
        <v>106869.81564</v>
      </c>
      <c r="M6" s="147">
        <f>'Revenue by Niche'!M88</f>
        <v>106869.81564</v>
      </c>
      <c r="N6" s="147">
        <f>'Revenue by Niche'!N88</f>
        <v>160304.72346</v>
      </c>
      <c r="O6" s="147">
        <f>'Revenue by Niche'!O88</f>
        <v>160304.72346</v>
      </c>
      <c r="P6" s="147">
        <f>'Revenue by Niche'!P88</f>
        <v>160304.72346</v>
      </c>
      <c r="Q6" s="147">
        <f>'Revenue by Niche'!Q88</f>
        <v>160304.72346</v>
      </c>
      <c r="R6" s="147">
        <f>'Revenue by Niche'!R88</f>
        <v>160304.72346</v>
      </c>
      <c r="S6" s="147">
        <f>'Revenue by Niche'!S88</f>
        <v>160304.72346</v>
      </c>
      <c r="T6" s="147">
        <f>'Revenue by Niche'!T88</f>
        <v>213739.63128</v>
      </c>
      <c r="U6" s="147">
        <f>'Revenue by Niche'!U88</f>
        <v>213739.63128</v>
      </c>
      <c r="V6" s="147">
        <f>'Revenue by Niche'!V88</f>
        <v>213739.63128</v>
      </c>
      <c r="W6" s="147">
        <f>'Revenue by Niche'!W88</f>
        <v>213739.63128</v>
      </c>
      <c r="X6" s="147">
        <f>'Revenue by Niche'!X88</f>
        <v>213739.63128</v>
      </c>
      <c r="Y6" s="147">
        <f>'Revenue by Niche'!Y88</f>
        <v>213739.63128</v>
      </c>
      <c r="Z6" s="73">
        <f t="shared" si="0" ref="Z6:Z26">SUM(B6:Y6)</f>
        <v>3179851.754184</v>
      </c>
      <c r="AA6" s="144"/>
      <c r="AB6" s="145">
        <f>SUM(B11:Y11)</f>
        <v>73891.5</v>
      </c>
    </row>
    <row r="7" ht="15" customHeight="1">
      <c r="A7" s="148" t="s">
        <v>427</v>
      </c>
      <c r="B7" s="149">
        <f>'Revenue by Niche'!B88</f>
        <v>35623.27188</v>
      </c>
      <c r="C7" s="149">
        <f>'Revenue by Niche'!C88</f>
        <v>35623.27188</v>
      </c>
      <c r="D7" s="149">
        <f>'Revenue by Niche'!D88</f>
        <v>35623.27188</v>
      </c>
      <c r="E7" s="149">
        <f>'Revenue by Niche'!E88</f>
        <v>62498.972088</v>
      </c>
      <c r="F7" s="149">
        <f>'Revenue by Niche'!F88</f>
        <v>62498.972088</v>
      </c>
      <c r="G7" s="149">
        <f>'Revenue by Niche'!G88</f>
        <v>62498.972088</v>
      </c>
      <c r="H7" s="149">
        <f>'Revenue by Niche'!H88</f>
        <v>106869.81564</v>
      </c>
      <c r="I7" s="149">
        <f>'Revenue by Niche'!I88</f>
        <v>106869.81564</v>
      </c>
      <c r="J7" s="149">
        <f>'Revenue by Niche'!J88</f>
        <v>106869.81564</v>
      </c>
      <c r="K7" s="149">
        <f>'Revenue by Niche'!K88</f>
        <v>106869.81564</v>
      </c>
      <c r="L7" s="149">
        <f>'Revenue by Niche'!L88</f>
        <v>106869.81564</v>
      </c>
      <c r="M7" s="149">
        <f>'Revenue by Niche'!M88</f>
        <v>106869.81564</v>
      </c>
      <c r="N7" s="149">
        <f>'Revenue by Niche'!N88</f>
        <v>160304.72346</v>
      </c>
      <c r="O7" s="149">
        <f>'Revenue by Niche'!O88</f>
        <v>160304.72346</v>
      </c>
      <c r="P7" s="149">
        <f>'Revenue by Niche'!P88</f>
        <v>160304.72346</v>
      </c>
      <c r="Q7" s="149">
        <f>'Revenue by Niche'!Q88</f>
        <v>160304.72346</v>
      </c>
      <c r="R7" s="149">
        <f>'Revenue by Niche'!R88</f>
        <v>160304.72346</v>
      </c>
      <c r="S7" s="149">
        <f>'Revenue by Niche'!S88</f>
        <v>160304.72346</v>
      </c>
      <c r="T7" s="149">
        <f>'Revenue by Niche'!T88</f>
        <v>213739.63128</v>
      </c>
      <c r="U7" s="149">
        <f>'Revenue by Niche'!U88</f>
        <v>213739.63128</v>
      </c>
      <c r="V7" s="149">
        <f>'Revenue by Niche'!V88</f>
        <v>213739.63128</v>
      </c>
      <c r="W7" s="149">
        <f>'Revenue by Niche'!W88</f>
        <v>213739.63128</v>
      </c>
      <c r="X7" s="149">
        <f>'Revenue by Niche'!X88</f>
        <v>213739.63128</v>
      </c>
      <c r="Y7" s="149">
        <f>'Revenue by Niche'!Y88</f>
        <v>213739.63128</v>
      </c>
      <c r="Z7" s="150">
        <f t="shared" si="0"/>
        <v>3179851.754184</v>
      </c>
      <c r="AA7" s="144"/>
      <c r="AB7" s="145">
        <f>SUM(B21:Y21)</f>
        <v>845355.1754184</v>
      </c>
    </row>
    <row r="8" ht="15" customHeight="1"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73"/>
      <c r="AA8" s="144"/>
      <c r="AB8" s="145">
        <f>SUM(B26:Y26)</f>
        <v>2260605.0787656</v>
      </c>
    </row>
    <row r="9" ht="15.75" customHeight="1">
      <c r="A9" s="151" t="s">
        <v>428</v>
      </c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73"/>
      <c r="AA9" s="144"/>
      <c r="AB9" s="152">
        <f>AVERAGE(B14:Y14)</f>
        <v>0.975406619077427</v>
      </c>
    </row>
    <row r="10" ht="15" customHeight="1">
      <c r="A10" s="146" t="s">
        <v>429</v>
      </c>
      <c r="B10" s="147">
        <f>'COGS &amp; Tech'!B26</f>
        <v>1195</v>
      </c>
      <c r="C10" s="147">
        <f>'COGS &amp; Tech'!C26</f>
        <v>1195</v>
      </c>
      <c r="D10" s="147">
        <f>'COGS &amp; Tech'!D26</f>
        <v>1195</v>
      </c>
      <c r="E10" s="147">
        <f>'COGS &amp; Tech'!E26</f>
        <v>1659.5</v>
      </c>
      <c r="F10" s="147">
        <f>'COGS &amp; Tech'!F26</f>
        <v>1659.5</v>
      </c>
      <c r="G10" s="147">
        <f>'COGS &amp; Tech'!G26</f>
        <v>1659.5</v>
      </c>
      <c r="H10" s="147">
        <f>'COGS &amp; Tech'!H26</f>
        <v>2567</v>
      </c>
      <c r="I10" s="147">
        <f>'COGS &amp; Tech'!I26</f>
        <v>2567</v>
      </c>
      <c r="J10" s="147">
        <f>'COGS &amp; Tech'!J26</f>
        <v>2567</v>
      </c>
      <c r="K10" s="147">
        <f>'COGS &amp; Tech'!K26</f>
        <v>2567</v>
      </c>
      <c r="L10" s="147">
        <f>'COGS &amp; Tech'!L26</f>
        <v>2567</v>
      </c>
      <c r="M10" s="147">
        <f>'COGS &amp; Tech'!M26</f>
        <v>2567</v>
      </c>
      <c r="N10" s="147">
        <f>'COGS &amp; Tech'!N26</f>
        <v>3446</v>
      </c>
      <c r="O10" s="147">
        <f>'COGS &amp; Tech'!O26</f>
        <v>3446</v>
      </c>
      <c r="P10" s="147">
        <f>'COGS &amp; Tech'!P26</f>
        <v>3446</v>
      </c>
      <c r="Q10" s="147">
        <f>'COGS &amp; Tech'!Q26</f>
        <v>3446</v>
      </c>
      <c r="R10" s="147">
        <f>'COGS &amp; Tech'!R26</f>
        <v>3446</v>
      </c>
      <c r="S10" s="147">
        <f>'COGS &amp; Tech'!S26</f>
        <v>3446</v>
      </c>
      <c r="T10" s="147">
        <f>'COGS &amp; Tech'!T26</f>
        <v>4875</v>
      </c>
      <c r="U10" s="147">
        <f>'COGS &amp; Tech'!U26</f>
        <v>4875</v>
      </c>
      <c r="V10" s="147">
        <f>'COGS &amp; Tech'!V26</f>
        <v>4875</v>
      </c>
      <c r="W10" s="147">
        <f>'COGS &amp; Tech'!W26</f>
        <v>4875</v>
      </c>
      <c r="X10" s="147">
        <f>'COGS &amp; Tech'!X26</f>
        <v>4875</v>
      </c>
      <c r="Y10" s="147">
        <f>'COGS &amp; Tech'!Y26</f>
        <v>4875</v>
      </c>
      <c r="Z10" s="73">
        <f t="shared" si="0"/>
        <v>73891.5</v>
      </c>
      <c r="AA10" s="144"/>
      <c r="AB10" s="152">
        <f>AVERAGE(B24:Y24)</f>
        <v>0.650750411022088</v>
      </c>
    </row>
    <row r="11" ht="15" customHeight="1">
      <c r="A11" s="148" t="s">
        <v>430</v>
      </c>
      <c r="B11" s="149">
        <f>'COGS &amp; Tech'!B26</f>
        <v>1195</v>
      </c>
      <c r="C11" s="149">
        <f>'COGS &amp; Tech'!C26</f>
        <v>1195</v>
      </c>
      <c r="D11" s="149">
        <f>'COGS &amp; Tech'!D26</f>
        <v>1195</v>
      </c>
      <c r="E11" s="149">
        <f>'COGS &amp; Tech'!E26</f>
        <v>1659.5</v>
      </c>
      <c r="F11" s="149">
        <f>'COGS &amp; Tech'!F26</f>
        <v>1659.5</v>
      </c>
      <c r="G11" s="149">
        <f>'COGS &amp; Tech'!G26</f>
        <v>1659.5</v>
      </c>
      <c r="H11" s="149">
        <f>'COGS &amp; Tech'!H26</f>
        <v>2567</v>
      </c>
      <c r="I11" s="149">
        <f>'COGS &amp; Tech'!I26</f>
        <v>2567</v>
      </c>
      <c r="J11" s="149">
        <f>'COGS &amp; Tech'!J26</f>
        <v>2567</v>
      </c>
      <c r="K11" s="149">
        <f>'COGS &amp; Tech'!K26</f>
        <v>2567</v>
      </c>
      <c r="L11" s="149">
        <f>'COGS &amp; Tech'!L26</f>
        <v>2567</v>
      </c>
      <c r="M11" s="149">
        <f>'COGS &amp; Tech'!M26</f>
        <v>2567</v>
      </c>
      <c r="N11" s="149">
        <f>'COGS &amp; Tech'!N26</f>
        <v>3446</v>
      </c>
      <c r="O11" s="149">
        <f>'COGS &amp; Tech'!O26</f>
        <v>3446</v>
      </c>
      <c r="P11" s="149">
        <f>'COGS &amp; Tech'!P26</f>
        <v>3446</v>
      </c>
      <c r="Q11" s="149">
        <f>'COGS &amp; Tech'!Q26</f>
        <v>3446</v>
      </c>
      <c r="R11" s="149">
        <f>'COGS &amp; Tech'!R26</f>
        <v>3446</v>
      </c>
      <c r="S11" s="149">
        <f>'COGS &amp; Tech'!S26</f>
        <v>3446</v>
      </c>
      <c r="T11" s="149">
        <f>'COGS &amp; Tech'!T26</f>
        <v>4875</v>
      </c>
      <c r="U11" s="149">
        <f>'COGS &amp; Tech'!U26</f>
        <v>4875</v>
      </c>
      <c r="V11" s="149">
        <f>'COGS &amp; Tech'!V26</f>
        <v>4875</v>
      </c>
      <c r="W11" s="149">
        <f>'COGS &amp; Tech'!W26</f>
        <v>4875</v>
      </c>
      <c r="X11" s="149">
        <f>'COGS &amp; Tech'!X26</f>
        <v>4875</v>
      </c>
      <c r="Y11" s="149">
        <f>'COGS &amp; Tech'!Y26</f>
        <v>4875</v>
      </c>
      <c r="Z11" s="150">
        <f t="shared" si="0"/>
        <v>73891.5</v>
      </c>
      <c r="AA11" s="144"/>
      <c r="AB11" s="152">
        <f>AVERAGE(B27:Y27)</f>
        <v>0.650750411022088</v>
      </c>
    </row>
    <row r="12" ht="15" customHeight="1"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73"/>
      <c r="AA12" s="144"/>
      <c r="AB12" s="145">
        <v>165010.668152</v>
      </c>
    </row>
    <row r="13" ht="15" customHeight="1">
      <c r="A13" s="153" t="s">
        <v>390</v>
      </c>
      <c r="B13" s="154">
        <f t="shared" si="1" ref="B13:Y13">B7-B11</f>
        <v>34428.27188</v>
      </c>
      <c r="C13" s="154">
        <f t="shared" si="1"/>
        <v>34428.27188</v>
      </c>
      <c r="D13" s="154">
        <f t="shared" si="1"/>
        <v>34428.27188</v>
      </c>
      <c r="E13" s="154">
        <f t="shared" si="1"/>
        <v>60839.472088</v>
      </c>
      <c r="F13" s="154">
        <f t="shared" si="1"/>
        <v>60839.472088</v>
      </c>
      <c r="G13" s="154">
        <f t="shared" si="1"/>
        <v>60839.472088</v>
      </c>
      <c r="H13" s="154">
        <f t="shared" si="1"/>
        <v>104302.81564</v>
      </c>
      <c r="I13" s="154">
        <f t="shared" si="1"/>
        <v>104302.81564</v>
      </c>
      <c r="J13" s="154">
        <f t="shared" si="1"/>
        <v>104302.81564</v>
      </c>
      <c r="K13" s="154">
        <f t="shared" si="1"/>
        <v>104302.81564</v>
      </c>
      <c r="L13" s="154">
        <f t="shared" si="1"/>
        <v>104302.81564</v>
      </c>
      <c r="M13" s="154">
        <f t="shared" si="1"/>
        <v>104302.81564</v>
      </c>
      <c r="N13" s="154">
        <f t="shared" si="1"/>
        <v>156858.72346</v>
      </c>
      <c r="O13" s="154">
        <f t="shared" si="1"/>
        <v>156858.72346</v>
      </c>
      <c r="P13" s="154">
        <f t="shared" si="1"/>
        <v>156858.72346</v>
      </c>
      <c r="Q13" s="154">
        <f t="shared" si="1"/>
        <v>156858.72346</v>
      </c>
      <c r="R13" s="154">
        <f t="shared" si="1"/>
        <v>156858.72346</v>
      </c>
      <c r="S13" s="154">
        <f t="shared" si="1"/>
        <v>156858.72346</v>
      </c>
      <c r="T13" s="154">
        <f t="shared" si="1"/>
        <v>208864.63128</v>
      </c>
      <c r="U13" s="154">
        <f t="shared" si="1"/>
        <v>208864.63128</v>
      </c>
      <c r="V13" s="154">
        <f t="shared" si="1"/>
        <v>208864.63128</v>
      </c>
      <c r="W13" s="154">
        <f t="shared" si="1"/>
        <v>208864.63128</v>
      </c>
      <c r="X13" s="154">
        <f t="shared" si="1"/>
        <v>208864.63128</v>
      </c>
      <c r="Y13" s="154">
        <f t="shared" si="1"/>
        <v>208864.63128</v>
      </c>
      <c r="Z13" s="150">
        <f t="shared" si="0"/>
        <v>3105960.254184</v>
      </c>
      <c r="AA13" s="144"/>
      <c r="AB13" s="145" t="str">
        <f>_xlfn.IFERROR(MATCH(TRUE,B23:Y23&gt;0,0),"N/A")</f>
        <v>N/A</v>
      </c>
    </row>
    <row r="14" ht="15" customHeight="1">
      <c r="A14" s="155" t="s">
        <v>391</v>
      </c>
      <c r="B14" s="156">
        <f t="shared" si="2" ref="B14:Y14">IF(B7=0,0,B13/B7)</f>
        <v>0.966454513105212</v>
      </c>
      <c r="C14" s="156">
        <f t="shared" si="2"/>
        <v>0.966454513105212</v>
      </c>
      <c r="D14" s="156">
        <f t="shared" si="2"/>
        <v>0.966454513105212</v>
      </c>
      <c r="E14" s="156">
        <f t="shared" si="2"/>
        <v>0.973447563302907</v>
      </c>
      <c r="F14" s="156">
        <f t="shared" si="2"/>
        <v>0.973447563302907</v>
      </c>
      <c r="G14" s="156">
        <f t="shared" si="2"/>
        <v>0.973447563302907</v>
      </c>
      <c r="H14" s="156">
        <f t="shared" si="2"/>
        <v>0.975980121378265</v>
      </c>
      <c r="I14" s="156">
        <f t="shared" si="2"/>
        <v>0.975980121378265</v>
      </c>
      <c r="J14" s="156">
        <f t="shared" si="2"/>
        <v>0.975980121378265</v>
      </c>
      <c r="K14" s="156">
        <f t="shared" si="2"/>
        <v>0.975980121378265</v>
      </c>
      <c r="L14" s="156">
        <f t="shared" si="2"/>
        <v>0.975980121378265</v>
      </c>
      <c r="M14" s="156">
        <f t="shared" si="2"/>
        <v>0.975980121378265</v>
      </c>
      <c r="N14" s="156">
        <f t="shared" si="2"/>
        <v>0.978503440662122</v>
      </c>
      <c r="O14" s="156">
        <f t="shared" si="2"/>
        <v>0.978503440662122</v>
      </c>
      <c r="P14" s="156">
        <f t="shared" si="2"/>
        <v>0.978503440662122</v>
      </c>
      <c r="Q14" s="156">
        <f t="shared" si="2"/>
        <v>0.978503440662122</v>
      </c>
      <c r="R14" s="156">
        <f t="shared" si="2"/>
        <v>0.978503440662122</v>
      </c>
      <c r="S14" s="156">
        <f t="shared" si="2"/>
        <v>0.978503440662122</v>
      </c>
      <c r="T14" s="156">
        <f t="shared" si="2"/>
        <v>0.977191876065259</v>
      </c>
      <c r="U14" s="156">
        <f t="shared" si="2"/>
        <v>0.977191876065259</v>
      </c>
      <c r="V14" s="156">
        <f t="shared" si="2"/>
        <v>0.977191876065259</v>
      </c>
      <c r="W14" s="156">
        <f t="shared" si="2"/>
        <v>0.977191876065259</v>
      </c>
      <c r="X14" s="156">
        <f t="shared" si="2"/>
        <v>0.977191876065259</v>
      </c>
      <c r="Y14" s="156">
        <f t="shared" si="2"/>
        <v>0.977191876065259</v>
      </c>
      <c r="Z14" s="157">
        <f t="shared" si="6" ref="Z14:Z34">AVERAGE(B14:Y14)</f>
        <v>0.975406619077427</v>
      </c>
      <c r="AA14" s="144"/>
      <c r="AB14" s="152">
        <v>213739.63128</v>
      </c>
    </row>
    <row r="15" ht="15" customHeight="1"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73"/>
    </row>
    <row r="16" ht="15.75" customHeight="1">
      <c r="A16" s="158" t="s">
        <v>431</v>
      </c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73"/>
    </row>
    <row r="17" ht="15" customHeight="1">
      <c r="A17" s="146" t="s">
        <v>432</v>
      </c>
      <c r="B17" s="147">
        <f>'Opex &amp; Headcount'!B17</f>
        <v>16200</v>
      </c>
      <c r="C17" s="147">
        <f>'Opex &amp; Headcount'!C17</f>
        <v>16200</v>
      </c>
      <c r="D17" s="147">
        <f>'Opex &amp; Headcount'!D17</f>
        <v>17550</v>
      </c>
      <c r="E17" s="147">
        <f>'Opex &amp; Headcount'!E17</f>
        <v>18900</v>
      </c>
      <c r="F17" s="147">
        <f>'Opex &amp; Headcount'!F17</f>
        <v>18900</v>
      </c>
      <c r="G17" s="147">
        <f>'Opex &amp; Headcount'!G17</f>
        <v>19980</v>
      </c>
      <c r="H17" s="147">
        <f>'Opex &amp; Headcount'!H17</f>
        <v>19980</v>
      </c>
      <c r="I17" s="147">
        <f>'Opex &amp; Headcount'!I17</f>
        <v>19980</v>
      </c>
      <c r="J17" s="147">
        <f>'Opex &amp; Headcount'!J17</f>
        <v>19980</v>
      </c>
      <c r="K17" s="147">
        <f>'Opex &amp; Headcount'!K17</f>
        <v>19980</v>
      </c>
      <c r="L17" s="147">
        <f>'Opex &amp; Headcount'!L17</f>
        <v>19980</v>
      </c>
      <c r="M17" s="147">
        <f>'Opex &amp; Headcount'!M17</f>
        <v>19980</v>
      </c>
      <c r="N17" s="147">
        <f>'Opex &amp; Headcount'!N17</f>
        <v>19980</v>
      </c>
      <c r="O17" s="147">
        <f>'Opex &amp; Headcount'!O17</f>
        <v>19980</v>
      </c>
      <c r="P17" s="147">
        <f>'Opex &amp; Headcount'!P17</f>
        <v>19980</v>
      </c>
      <c r="Q17" s="147">
        <f>'Opex &amp; Headcount'!Q17</f>
        <v>19980</v>
      </c>
      <c r="R17" s="147">
        <f>'Opex &amp; Headcount'!R17</f>
        <v>19980</v>
      </c>
      <c r="S17" s="147">
        <f>'Opex &amp; Headcount'!S17</f>
        <v>19980</v>
      </c>
      <c r="T17" s="147">
        <f>'Opex &amp; Headcount'!T17</f>
        <v>19980</v>
      </c>
      <c r="U17" s="147">
        <f>'Opex &amp; Headcount'!U17</f>
        <v>19980</v>
      </c>
      <c r="V17" s="147">
        <f>'Opex &amp; Headcount'!V17</f>
        <v>19980</v>
      </c>
      <c r="W17" s="147">
        <f>'Opex &amp; Headcount'!W17</f>
        <v>19980</v>
      </c>
      <c r="X17" s="147">
        <f>'Opex &amp; Headcount'!X17</f>
        <v>19980</v>
      </c>
      <c r="Y17" s="147">
        <f>'Opex &amp; Headcount'!Y17</f>
        <v>19980</v>
      </c>
      <c r="Z17" s="73">
        <f t="shared" si="0"/>
        <v>467370</v>
      </c>
    </row>
    <row r="18" ht="15" customHeight="1">
      <c r="A18" s="146" t="s">
        <v>433</v>
      </c>
      <c r="B18" s="147">
        <f>'Opex &amp; Headcount'!B21+'Opex &amp; Headcount'!B22+'Opex &amp; Headcount'!B25</f>
        <v>1500</v>
      </c>
      <c r="C18" s="147">
        <f>'Opex &amp; Headcount'!C21+'Opex &amp; Headcount'!C22+'Opex &amp; Headcount'!C25</f>
        <v>1500</v>
      </c>
      <c r="D18" s="147">
        <f>'Opex &amp; Headcount'!D21+'Opex &amp; Headcount'!D22+'Opex &amp; Headcount'!D25</f>
        <v>1500</v>
      </c>
      <c r="E18" s="147">
        <f>'Opex &amp; Headcount'!E21+'Opex &amp; Headcount'!E22+'Opex &amp; Headcount'!E25</f>
        <v>1500</v>
      </c>
      <c r="F18" s="147">
        <f>'Opex &amp; Headcount'!F21+'Opex &amp; Headcount'!F22+'Opex &amp; Headcount'!F25</f>
        <v>1500</v>
      </c>
      <c r="G18" s="147">
        <f>'Opex &amp; Headcount'!G21+'Opex &amp; Headcount'!G22+'Opex &amp; Headcount'!G25</f>
        <v>1500</v>
      </c>
      <c r="H18" s="147">
        <f>'Opex &amp; Headcount'!H21+'Opex &amp; Headcount'!H22+'Opex &amp; Headcount'!H25</f>
        <v>1500</v>
      </c>
      <c r="I18" s="147">
        <f>'Opex &amp; Headcount'!I21+'Opex &amp; Headcount'!I22+'Opex &amp; Headcount'!I25</f>
        <v>1500</v>
      </c>
      <c r="J18" s="147">
        <f>'Opex &amp; Headcount'!J21+'Opex &amp; Headcount'!J22+'Opex &amp; Headcount'!J25</f>
        <v>1500</v>
      </c>
      <c r="K18" s="147">
        <f>'Opex &amp; Headcount'!K21+'Opex &amp; Headcount'!K22+'Opex &amp; Headcount'!K25</f>
        <v>1500</v>
      </c>
      <c r="L18" s="147">
        <f>'Opex &amp; Headcount'!L21+'Opex &amp; Headcount'!L22+'Opex &amp; Headcount'!L25</f>
        <v>1500</v>
      </c>
      <c r="M18" s="147">
        <f>'Opex &amp; Headcount'!M21+'Opex &amp; Headcount'!M22+'Opex &amp; Headcount'!M25</f>
        <v>1500</v>
      </c>
      <c r="N18" s="147">
        <f>'Opex &amp; Headcount'!N21+'Opex &amp; Headcount'!N22+'Opex &amp; Headcount'!N25</f>
        <v>1500</v>
      </c>
      <c r="O18" s="147">
        <f>'Opex &amp; Headcount'!O21+'Opex &amp; Headcount'!O22+'Opex &amp; Headcount'!O25</f>
        <v>1500</v>
      </c>
      <c r="P18" s="147">
        <f>'Opex &amp; Headcount'!P21+'Opex &amp; Headcount'!P22+'Opex &amp; Headcount'!P25</f>
        <v>1500</v>
      </c>
      <c r="Q18" s="147">
        <f>'Opex &amp; Headcount'!Q21+'Opex &amp; Headcount'!Q22+'Opex &amp; Headcount'!Q25</f>
        <v>1500</v>
      </c>
      <c r="R18" s="147">
        <f>'Opex &amp; Headcount'!R21+'Opex &amp; Headcount'!R22+'Opex &amp; Headcount'!R25</f>
        <v>1500</v>
      </c>
      <c r="S18" s="147">
        <f>'Opex &amp; Headcount'!S21+'Opex &amp; Headcount'!S22+'Opex &amp; Headcount'!S25</f>
        <v>1500</v>
      </c>
      <c r="T18" s="147">
        <f>'Opex &amp; Headcount'!T21+'Opex &amp; Headcount'!T22+'Opex &amp; Headcount'!T25</f>
        <v>1500</v>
      </c>
      <c r="U18" s="147">
        <f>'Opex &amp; Headcount'!U21+'Opex &amp; Headcount'!U22+'Opex &amp; Headcount'!U25</f>
        <v>1500</v>
      </c>
      <c r="V18" s="147">
        <f>'Opex &amp; Headcount'!V21+'Opex &amp; Headcount'!V22+'Opex &amp; Headcount'!V25</f>
        <v>1500</v>
      </c>
      <c r="W18" s="147">
        <f>'Opex &amp; Headcount'!W21+'Opex &amp; Headcount'!W22+'Opex &amp; Headcount'!W25</f>
        <v>1500</v>
      </c>
      <c r="X18" s="147">
        <f>'Opex &amp; Headcount'!X21+'Opex &amp; Headcount'!X22+'Opex &amp; Headcount'!X25</f>
        <v>1500</v>
      </c>
      <c r="Y18" s="147">
        <f>'Opex &amp; Headcount'!Y21+'Opex &amp; Headcount'!Y22+'Opex &amp; Headcount'!Y25</f>
        <v>1500</v>
      </c>
      <c r="Z18" s="73">
        <f t="shared" si="0"/>
        <v>36000</v>
      </c>
    </row>
    <row r="19" ht="15" customHeight="1">
      <c r="A19" s="146" t="s">
        <v>408</v>
      </c>
      <c r="B19" s="147">
        <f>'Opex &amp; Headcount'!B23</f>
        <v>1000</v>
      </c>
      <c r="C19" s="147">
        <f>'Opex &amp; Headcount'!C23</f>
        <v>1000</v>
      </c>
      <c r="D19" s="147">
        <f>'Opex &amp; Headcount'!D23</f>
        <v>1000</v>
      </c>
      <c r="E19" s="147">
        <f>'Opex &amp; Headcount'!E23</f>
        <v>1000</v>
      </c>
      <c r="F19" s="147">
        <f>'Opex &amp; Headcount'!F23</f>
        <v>1000</v>
      </c>
      <c r="G19" s="147">
        <f>'Opex &amp; Headcount'!G23</f>
        <v>1000</v>
      </c>
      <c r="H19" s="147">
        <f>'Opex &amp; Headcount'!H23</f>
        <v>1000</v>
      </c>
      <c r="I19" s="147">
        <f>'Opex &amp; Headcount'!I23</f>
        <v>1000</v>
      </c>
      <c r="J19" s="147">
        <f>'Opex &amp; Headcount'!J23</f>
        <v>1000</v>
      </c>
      <c r="K19" s="147">
        <f>'Opex &amp; Headcount'!K23</f>
        <v>1000</v>
      </c>
      <c r="L19" s="147">
        <f>'Opex &amp; Headcount'!L23</f>
        <v>1000</v>
      </c>
      <c r="M19" s="147">
        <f>'Opex &amp; Headcount'!M23</f>
        <v>1000</v>
      </c>
      <c r="N19" s="147">
        <f>'Opex &amp; Headcount'!N23</f>
        <v>1000</v>
      </c>
      <c r="O19" s="147">
        <f>'Opex &amp; Headcount'!O23</f>
        <v>1000</v>
      </c>
      <c r="P19" s="147">
        <f>'Opex &amp; Headcount'!P23</f>
        <v>1000</v>
      </c>
      <c r="Q19" s="147">
        <f>'Opex &amp; Headcount'!Q23</f>
        <v>1000</v>
      </c>
      <c r="R19" s="147">
        <f>'Opex &amp; Headcount'!R23</f>
        <v>1000</v>
      </c>
      <c r="S19" s="147">
        <f>'Opex &amp; Headcount'!S23</f>
        <v>1000</v>
      </c>
      <c r="T19" s="147">
        <f>'Opex &amp; Headcount'!T23</f>
        <v>1000</v>
      </c>
      <c r="U19" s="147">
        <f>'Opex &amp; Headcount'!U23</f>
        <v>1000</v>
      </c>
      <c r="V19" s="147">
        <f>'Opex &amp; Headcount'!V23</f>
        <v>1000</v>
      </c>
      <c r="W19" s="147">
        <f>'Opex &amp; Headcount'!W23</f>
        <v>1000</v>
      </c>
      <c r="X19" s="147">
        <f>'Opex &amp; Headcount'!X23</f>
        <v>1000</v>
      </c>
      <c r="Y19" s="147">
        <f>'Opex &amp; Headcount'!Y23</f>
        <v>1000</v>
      </c>
      <c r="Z19" s="73">
        <f t="shared" si="0"/>
        <v>24000</v>
      </c>
    </row>
    <row r="20" ht="15" customHeight="1">
      <c r="A20" s="146" t="s">
        <v>434</v>
      </c>
      <c r="B20" s="147">
        <f>'Opex &amp; Headcount'!B24</f>
        <v>3562.327188</v>
      </c>
      <c r="C20" s="147">
        <f>'Opex &amp; Headcount'!C24</f>
        <v>3562.327188</v>
      </c>
      <c r="D20" s="147">
        <f>'Opex &amp; Headcount'!D24</f>
        <v>3562.327188</v>
      </c>
      <c r="E20" s="147">
        <f>'Opex &amp; Headcount'!E24</f>
        <v>6249.8972088</v>
      </c>
      <c r="F20" s="147">
        <f>'Opex &amp; Headcount'!F24</f>
        <v>6249.8972088</v>
      </c>
      <c r="G20" s="147">
        <f>'Opex &amp; Headcount'!G24</f>
        <v>6249.8972088</v>
      </c>
      <c r="H20" s="147">
        <f>'Opex &amp; Headcount'!H24</f>
        <v>10686.981564</v>
      </c>
      <c r="I20" s="147">
        <f>'Opex &amp; Headcount'!I24</f>
        <v>10686.981564</v>
      </c>
      <c r="J20" s="147">
        <f>'Opex &amp; Headcount'!J24</f>
        <v>10686.981564</v>
      </c>
      <c r="K20" s="147">
        <f>'Opex &amp; Headcount'!K24</f>
        <v>10686.981564</v>
      </c>
      <c r="L20" s="147">
        <f>'Opex &amp; Headcount'!L24</f>
        <v>10686.981564</v>
      </c>
      <c r="M20" s="147">
        <f>'Opex &amp; Headcount'!M24</f>
        <v>10686.981564</v>
      </c>
      <c r="N20" s="147">
        <f>'Opex &amp; Headcount'!N24</f>
        <v>16030.472346</v>
      </c>
      <c r="O20" s="147">
        <f>'Opex &amp; Headcount'!O24</f>
        <v>16030.472346</v>
      </c>
      <c r="P20" s="147">
        <f>'Opex &amp; Headcount'!P24</f>
        <v>16030.472346</v>
      </c>
      <c r="Q20" s="147">
        <f>'Opex &amp; Headcount'!Q24</f>
        <v>16030.472346</v>
      </c>
      <c r="R20" s="147">
        <f>'Opex &amp; Headcount'!R24</f>
        <v>16030.472346</v>
      </c>
      <c r="S20" s="147">
        <f>'Opex &amp; Headcount'!S24</f>
        <v>16030.472346</v>
      </c>
      <c r="T20" s="147">
        <f>'Opex &amp; Headcount'!T24</f>
        <v>21373.963128</v>
      </c>
      <c r="U20" s="147">
        <f>'Opex &amp; Headcount'!U24</f>
        <v>21373.963128</v>
      </c>
      <c r="V20" s="147">
        <f>'Opex &amp; Headcount'!V24</f>
        <v>21373.963128</v>
      </c>
      <c r="W20" s="147">
        <f>'Opex &amp; Headcount'!W24</f>
        <v>21373.963128</v>
      </c>
      <c r="X20" s="147">
        <f>'Opex &amp; Headcount'!X24</f>
        <v>21373.963128</v>
      </c>
      <c r="Y20" s="147">
        <f>'Opex &amp; Headcount'!Y24</f>
        <v>21373.963128</v>
      </c>
      <c r="Z20" s="73">
        <f t="shared" si="0"/>
        <v>317985.1754184</v>
      </c>
    </row>
    <row r="21" ht="15" customHeight="1">
      <c r="A21" s="148" t="s">
        <v>435</v>
      </c>
      <c r="B21" s="149">
        <f t="shared" si="3" ref="B21:Y21">SUM(B17:B20)</f>
        <v>22262.327188</v>
      </c>
      <c r="C21" s="149">
        <f t="shared" si="3"/>
        <v>22262.327188</v>
      </c>
      <c r="D21" s="149">
        <f t="shared" si="3"/>
        <v>23612.327188</v>
      </c>
      <c r="E21" s="149">
        <f t="shared" si="3"/>
        <v>27649.8972088</v>
      </c>
      <c r="F21" s="149">
        <f t="shared" si="3"/>
        <v>27649.8972088</v>
      </c>
      <c r="G21" s="149">
        <f t="shared" si="3"/>
        <v>28729.8972088</v>
      </c>
      <c r="H21" s="149">
        <f t="shared" si="3"/>
        <v>33166.981564</v>
      </c>
      <c r="I21" s="149">
        <f t="shared" si="3"/>
        <v>33166.981564</v>
      </c>
      <c r="J21" s="149">
        <f t="shared" si="3"/>
        <v>33166.981564</v>
      </c>
      <c r="K21" s="149">
        <f t="shared" si="3"/>
        <v>33166.981564</v>
      </c>
      <c r="L21" s="149">
        <f t="shared" si="3"/>
        <v>33166.981564</v>
      </c>
      <c r="M21" s="149">
        <f t="shared" si="3"/>
        <v>33166.981564</v>
      </c>
      <c r="N21" s="149">
        <f t="shared" si="3"/>
        <v>38510.472346</v>
      </c>
      <c r="O21" s="149">
        <f t="shared" si="3"/>
        <v>38510.472346</v>
      </c>
      <c r="P21" s="149">
        <f t="shared" si="3"/>
        <v>38510.472346</v>
      </c>
      <c r="Q21" s="149">
        <f t="shared" si="3"/>
        <v>38510.472346</v>
      </c>
      <c r="R21" s="149">
        <f t="shared" si="3"/>
        <v>38510.472346</v>
      </c>
      <c r="S21" s="149">
        <f t="shared" si="3"/>
        <v>38510.472346</v>
      </c>
      <c r="T21" s="149">
        <f t="shared" si="3"/>
        <v>43853.963128</v>
      </c>
      <c r="U21" s="149">
        <f t="shared" si="3"/>
        <v>43853.963128</v>
      </c>
      <c r="V21" s="149">
        <f t="shared" si="3"/>
        <v>43853.963128</v>
      </c>
      <c r="W21" s="149">
        <f t="shared" si="3"/>
        <v>43853.963128</v>
      </c>
      <c r="X21" s="149">
        <f t="shared" si="3"/>
        <v>43853.963128</v>
      </c>
      <c r="Y21" s="149">
        <f t="shared" si="3"/>
        <v>43853.963128</v>
      </c>
      <c r="Z21" s="150">
        <f t="shared" si="0"/>
        <v>845355.1754184</v>
      </c>
    </row>
    <row r="22" ht="15" customHeight="1"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73"/>
    </row>
    <row r="23" ht="15" customHeight="1">
      <c r="A23" s="159" t="s">
        <v>436</v>
      </c>
      <c r="B23" s="160">
        <f t="shared" si="4" ref="B23:Y23">B13-B21</f>
        <v>12165.944692</v>
      </c>
      <c r="C23" s="160">
        <f t="shared" si="4"/>
        <v>12165.944692</v>
      </c>
      <c r="D23" s="160">
        <f t="shared" si="4"/>
        <v>10815.944692</v>
      </c>
      <c r="E23" s="160">
        <f t="shared" si="4"/>
        <v>33189.5748792</v>
      </c>
      <c r="F23" s="160">
        <f t="shared" si="4"/>
        <v>33189.5748792</v>
      </c>
      <c r="G23" s="160">
        <f t="shared" si="4"/>
        <v>32109.5748792</v>
      </c>
      <c r="H23" s="160">
        <f t="shared" si="4"/>
        <v>71135.834076</v>
      </c>
      <c r="I23" s="160">
        <f t="shared" si="4"/>
        <v>71135.834076</v>
      </c>
      <c r="J23" s="160">
        <f t="shared" si="4"/>
        <v>71135.834076</v>
      </c>
      <c r="K23" s="160">
        <f t="shared" si="4"/>
        <v>71135.834076</v>
      </c>
      <c r="L23" s="160">
        <f t="shared" si="4"/>
        <v>71135.834076</v>
      </c>
      <c r="M23" s="160">
        <f t="shared" si="4"/>
        <v>71135.834076</v>
      </c>
      <c r="N23" s="160">
        <f t="shared" si="4"/>
        <v>118348.251114</v>
      </c>
      <c r="O23" s="160">
        <f t="shared" si="4"/>
        <v>118348.251114</v>
      </c>
      <c r="P23" s="160">
        <f t="shared" si="4"/>
        <v>118348.251114</v>
      </c>
      <c r="Q23" s="160">
        <f t="shared" si="4"/>
        <v>118348.251114</v>
      </c>
      <c r="R23" s="160">
        <f t="shared" si="4"/>
        <v>118348.251114</v>
      </c>
      <c r="S23" s="160">
        <f t="shared" si="4"/>
        <v>118348.251114</v>
      </c>
      <c r="T23" s="160">
        <f t="shared" si="4"/>
        <v>165010.668152</v>
      </c>
      <c r="U23" s="160">
        <f t="shared" si="4"/>
        <v>165010.668152</v>
      </c>
      <c r="V23" s="160">
        <f t="shared" si="4"/>
        <v>165010.668152</v>
      </c>
      <c r="W23" s="160">
        <f t="shared" si="4"/>
        <v>165010.668152</v>
      </c>
      <c r="X23" s="160">
        <f t="shared" si="4"/>
        <v>165010.668152</v>
      </c>
      <c r="Y23" s="160">
        <f t="shared" si="4"/>
        <v>165010.668152</v>
      </c>
      <c r="Z23" s="150">
        <f t="shared" si="0"/>
        <v>2260605.0787656</v>
      </c>
    </row>
    <row r="24" ht="15" customHeight="1">
      <c r="A24" s="161" t="s">
        <v>437</v>
      </c>
      <c r="B24" s="162">
        <f t="shared" si="5" ref="B24:Y24">IF(B7=0,0,B23/B7)</f>
        <v>0.341516768391798</v>
      </c>
      <c r="C24" s="162">
        <f t="shared" si="5"/>
        <v>0.341516768391798</v>
      </c>
      <c r="D24" s="162">
        <f t="shared" si="5"/>
        <v>0.30362019323869</v>
      </c>
      <c r="E24" s="162">
        <f t="shared" si="5"/>
        <v>0.531041931897189</v>
      </c>
      <c r="F24" s="162">
        <f t="shared" si="5"/>
        <v>0.531041931897189</v>
      </c>
      <c r="G24" s="162">
        <f t="shared" si="5"/>
        <v>0.513761647695405</v>
      </c>
      <c r="H24" s="162">
        <f t="shared" si="5"/>
        <v>0.665630736330893</v>
      </c>
      <c r="I24" s="162">
        <f t="shared" si="5"/>
        <v>0.665630736330893</v>
      </c>
      <c r="J24" s="162">
        <f t="shared" si="5"/>
        <v>0.665630736330893</v>
      </c>
      <c r="K24" s="162">
        <f t="shared" si="5"/>
        <v>0.665630736330893</v>
      </c>
      <c r="L24" s="162">
        <f t="shared" si="5"/>
        <v>0.665630736330893</v>
      </c>
      <c r="M24" s="162">
        <f t="shared" si="5"/>
        <v>0.665630736330893</v>
      </c>
      <c r="N24" s="162">
        <f t="shared" si="5"/>
        <v>0.738270517297207</v>
      </c>
      <c r="O24" s="162">
        <f t="shared" si="5"/>
        <v>0.738270517297207</v>
      </c>
      <c r="P24" s="162">
        <f t="shared" si="5"/>
        <v>0.738270517297207</v>
      </c>
      <c r="Q24" s="162">
        <f t="shared" si="5"/>
        <v>0.738270517297207</v>
      </c>
      <c r="R24" s="162">
        <f t="shared" si="5"/>
        <v>0.738270517297207</v>
      </c>
      <c r="S24" s="162">
        <f t="shared" si="5"/>
        <v>0.738270517297207</v>
      </c>
      <c r="T24" s="162">
        <f t="shared" si="5"/>
        <v>0.772017183541573</v>
      </c>
      <c r="U24" s="162">
        <f t="shared" si="5"/>
        <v>0.772017183541573</v>
      </c>
      <c r="V24" s="162">
        <f t="shared" si="5"/>
        <v>0.772017183541573</v>
      </c>
      <c r="W24" s="162">
        <f t="shared" si="5"/>
        <v>0.772017183541573</v>
      </c>
      <c r="X24" s="162">
        <f t="shared" si="5"/>
        <v>0.772017183541573</v>
      </c>
      <c r="Y24" s="162">
        <f t="shared" si="5"/>
        <v>0.772017183541573</v>
      </c>
      <c r="Z24" s="157">
        <f t="shared" si="6"/>
        <v>0.650750411022088</v>
      </c>
    </row>
    <row r="25" ht="15" customHeight="1"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73"/>
    </row>
    <row r="26" ht="15" customHeight="1">
      <c r="A26" s="163" t="s">
        <v>438</v>
      </c>
      <c r="B26" s="164">
        <f t="shared" si="7" ref="B26:Y26">B23</f>
        <v>12165.944692</v>
      </c>
      <c r="C26" s="164">
        <f t="shared" si="7"/>
        <v>12165.944692</v>
      </c>
      <c r="D26" s="164">
        <f t="shared" si="7"/>
        <v>10815.944692</v>
      </c>
      <c r="E26" s="164">
        <f t="shared" si="7"/>
        <v>33189.5748792</v>
      </c>
      <c r="F26" s="164">
        <f t="shared" si="7"/>
        <v>33189.5748792</v>
      </c>
      <c r="G26" s="164">
        <f t="shared" si="7"/>
        <v>32109.5748792</v>
      </c>
      <c r="H26" s="164">
        <f t="shared" si="7"/>
        <v>71135.834076</v>
      </c>
      <c r="I26" s="164">
        <f t="shared" si="7"/>
        <v>71135.834076</v>
      </c>
      <c r="J26" s="164">
        <f t="shared" si="7"/>
        <v>71135.834076</v>
      </c>
      <c r="K26" s="164">
        <f t="shared" si="7"/>
        <v>71135.834076</v>
      </c>
      <c r="L26" s="164">
        <f t="shared" si="7"/>
        <v>71135.834076</v>
      </c>
      <c r="M26" s="164">
        <f t="shared" si="7"/>
        <v>71135.834076</v>
      </c>
      <c r="N26" s="164">
        <f t="shared" si="7"/>
        <v>118348.251114</v>
      </c>
      <c r="O26" s="164">
        <f t="shared" si="7"/>
        <v>118348.251114</v>
      </c>
      <c r="P26" s="164">
        <f t="shared" si="7"/>
        <v>118348.251114</v>
      </c>
      <c r="Q26" s="164">
        <f t="shared" si="7"/>
        <v>118348.251114</v>
      </c>
      <c r="R26" s="164">
        <f t="shared" si="7"/>
        <v>118348.251114</v>
      </c>
      <c r="S26" s="164">
        <f t="shared" si="7"/>
        <v>118348.251114</v>
      </c>
      <c r="T26" s="164">
        <f t="shared" si="7"/>
        <v>165010.668152</v>
      </c>
      <c r="U26" s="164">
        <f t="shared" si="7"/>
        <v>165010.668152</v>
      </c>
      <c r="V26" s="164">
        <f t="shared" si="7"/>
        <v>165010.668152</v>
      </c>
      <c r="W26" s="164">
        <f t="shared" si="7"/>
        <v>165010.668152</v>
      </c>
      <c r="X26" s="164">
        <f t="shared" si="7"/>
        <v>165010.668152</v>
      </c>
      <c r="Y26" s="164">
        <f t="shared" si="7"/>
        <v>165010.668152</v>
      </c>
      <c r="Z26" s="165">
        <f t="shared" si="0"/>
        <v>2260605.0787656</v>
      </c>
    </row>
    <row r="27" ht="15" customHeight="1">
      <c r="A27" s="166" t="s">
        <v>439</v>
      </c>
      <c r="B27" s="167">
        <f t="shared" si="8" ref="B27:Y27">IF(B7=0,0,B26/B7)</f>
        <v>0.341516768391798</v>
      </c>
      <c r="C27" s="167">
        <f t="shared" si="8"/>
        <v>0.341516768391798</v>
      </c>
      <c r="D27" s="167">
        <f t="shared" si="8"/>
        <v>0.30362019323869</v>
      </c>
      <c r="E27" s="167">
        <f t="shared" si="8"/>
        <v>0.531041931897189</v>
      </c>
      <c r="F27" s="167">
        <f t="shared" si="8"/>
        <v>0.531041931897189</v>
      </c>
      <c r="G27" s="167">
        <f t="shared" si="8"/>
        <v>0.513761647695405</v>
      </c>
      <c r="H27" s="167">
        <f t="shared" si="8"/>
        <v>0.665630736330893</v>
      </c>
      <c r="I27" s="167">
        <f t="shared" si="8"/>
        <v>0.665630736330893</v>
      </c>
      <c r="J27" s="167">
        <f t="shared" si="8"/>
        <v>0.665630736330893</v>
      </c>
      <c r="K27" s="167">
        <f t="shared" si="8"/>
        <v>0.665630736330893</v>
      </c>
      <c r="L27" s="167">
        <f t="shared" si="8"/>
        <v>0.665630736330893</v>
      </c>
      <c r="M27" s="167">
        <f t="shared" si="8"/>
        <v>0.665630736330893</v>
      </c>
      <c r="N27" s="167">
        <f t="shared" si="8"/>
        <v>0.738270517297207</v>
      </c>
      <c r="O27" s="167">
        <f t="shared" si="8"/>
        <v>0.738270517297207</v>
      </c>
      <c r="P27" s="167">
        <f t="shared" si="8"/>
        <v>0.738270517297207</v>
      </c>
      <c r="Q27" s="167">
        <f t="shared" si="8"/>
        <v>0.738270517297207</v>
      </c>
      <c r="R27" s="167">
        <f t="shared" si="8"/>
        <v>0.738270517297207</v>
      </c>
      <c r="S27" s="167">
        <f t="shared" si="8"/>
        <v>0.738270517297207</v>
      </c>
      <c r="T27" s="167">
        <f t="shared" si="8"/>
        <v>0.772017183541573</v>
      </c>
      <c r="U27" s="167">
        <f t="shared" si="8"/>
        <v>0.772017183541573</v>
      </c>
      <c r="V27" s="167">
        <f t="shared" si="8"/>
        <v>0.772017183541573</v>
      </c>
      <c r="W27" s="167">
        <f t="shared" si="8"/>
        <v>0.772017183541573</v>
      </c>
      <c r="X27" s="167">
        <f t="shared" si="8"/>
        <v>0.772017183541573</v>
      </c>
      <c r="Y27" s="167">
        <f t="shared" si="8"/>
        <v>0.772017183541573</v>
      </c>
      <c r="Z27" s="157">
        <f t="shared" si="6"/>
        <v>0.650750411022088</v>
      </c>
    </row>
    <row r="28" ht="15" customHeight="1"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2"/>
    </row>
    <row r="29" ht="15.75" customHeight="1">
      <c r="A29" s="168" t="s">
        <v>440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2"/>
    </row>
    <row r="30" ht="15" customHeight="1">
      <c r="A30" s="146" t="s">
        <v>441</v>
      </c>
      <c r="B30" s="57">
        <f>'Accounts &amp; Traffic'!B14</f>
        <v>200</v>
      </c>
      <c r="C30" s="57">
        <f>'Accounts &amp; Traffic'!C14</f>
        <v>200</v>
      </c>
      <c r="D30" s="57">
        <f>'Accounts &amp; Traffic'!D14</f>
        <v>200</v>
      </c>
      <c r="E30" s="57">
        <f>'Accounts &amp; Traffic'!E14</f>
        <v>350</v>
      </c>
      <c r="F30" s="57">
        <f>'Accounts &amp; Traffic'!F14</f>
        <v>350</v>
      </c>
      <c r="G30" s="57">
        <f>'Accounts &amp; Traffic'!G14</f>
        <v>350</v>
      </c>
      <c r="H30" s="57">
        <f>'Accounts &amp; Traffic'!H14</f>
        <v>600</v>
      </c>
      <c r="I30" s="57">
        <f>'Accounts &amp; Traffic'!I14</f>
        <v>600</v>
      </c>
      <c r="J30" s="57">
        <f>'Accounts &amp; Traffic'!J14</f>
        <v>600</v>
      </c>
      <c r="K30" s="57">
        <f>'Accounts &amp; Traffic'!K14</f>
        <v>600</v>
      </c>
      <c r="L30" s="57">
        <f>'Accounts &amp; Traffic'!L14</f>
        <v>600</v>
      </c>
      <c r="M30" s="57">
        <f>'Accounts &amp; Traffic'!M14</f>
        <v>600</v>
      </c>
      <c r="N30" s="57">
        <f>'Accounts &amp; Traffic'!N14</f>
        <v>900</v>
      </c>
      <c r="O30" s="57">
        <f>'Accounts &amp; Traffic'!O14</f>
        <v>900</v>
      </c>
      <c r="P30" s="57">
        <f>'Accounts &amp; Traffic'!P14</f>
        <v>900</v>
      </c>
      <c r="Q30" s="57">
        <f>'Accounts &amp; Traffic'!Q14</f>
        <v>900</v>
      </c>
      <c r="R30" s="57">
        <f>'Accounts &amp; Traffic'!R14</f>
        <v>900</v>
      </c>
      <c r="S30" s="57">
        <f>'Accounts &amp; Traffic'!S14</f>
        <v>900</v>
      </c>
      <c r="T30" s="57">
        <f>'Accounts &amp; Traffic'!T14</f>
        <v>1200</v>
      </c>
      <c r="U30" s="57">
        <f>'Accounts &amp; Traffic'!U14</f>
        <v>1200</v>
      </c>
      <c r="V30" s="57">
        <f>'Accounts &amp; Traffic'!V14</f>
        <v>1200</v>
      </c>
      <c r="W30" s="57">
        <f>'Accounts &amp; Traffic'!W14</f>
        <v>1200</v>
      </c>
      <c r="X30" s="57">
        <f>'Accounts &amp; Traffic'!X14</f>
        <v>1200</v>
      </c>
      <c r="Y30" s="57">
        <f>'Accounts &amp; Traffic'!Y14</f>
        <v>1200</v>
      </c>
      <c r="Z30" s="73">
        <f>Y30</f>
        <v>1200</v>
      </c>
    </row>
    <row r="31" ht="15" customHeight="1">
      <c r="A31" s="146" t="s">
        <v>442</v>
      </c>
      <c r="B31" s="169">
        <f t="shared" si="9" ref="B31:Y31">IF(B30=0,0,B7/B30)</f>
        <v>178.1163594</v>
      </c>
      <c r="C31" s="169">
        <f t="shared" si="9"/>
        <v>178.1163594</v>
      </c>
      <c r="D31" s="169">
        <f t="shared" si="9"/>
        <v>178.1163594</v>
      </c>
      <c r="E31" s="169">
        <f t="shared" si="9"/>
        <v>178.56849168</v>
      </c>
      <c r="F31" s="169">
        <f t="shared" si="9"/>
        <v>178.56849168</v>
      </c>
      <c r="G31" s="169">
        <f t="shared" si="9"/>
        <v>178.56849168</v>
      </c>
      <c r="H31" s="169">
        <f t="shared" si="9"/>
        <v>178.1163594</v>
      </c>
      <c r="I31" s="169">
        <f t="shared" si="9"/>
        <v>178.1163594</v>
      </c>
      <c r="J31" s="169">
        <f t="shared" si="9"/>
        <v>178.1163594</v>
      </c>
      <c r="K31" s="169">
        <f t="shared" si="9"/>
        <v>178.1163594</v>
      </c>
      <c r="L31" s="169">
        <f t="shared" si="9"/>
        <v>178.1163594</v>
      </c>
      <c r="M31" s="169">
        <f t="shared" si="9"/>
        <v>178.1163594</v>
      </c>
      <c r="N31" s="169">
        <f t="shared" si="9"/>
        <v>178.1163594</v>
      </c>
      <c r="O31" s="169">
        <f t="shared" si="9"/>
        <v>178.1163594</v>
      </c>
      <c r="P31" s="169">
        <f t="shared" si="9"/>
        <v>178.1163594</v>
      </c>
      <c r="Q31" s="169">
        <f t="shared" si="9"/>
        <v>178.1163594</v>
      </c>
      <c r="R31" s="169">
        <f t="shared" si="9"/>
        <v>178.1163594</v>
      </c>
      <c r="S31" s="169">
        <f t="shared" si="9"/>
        <v>178.1163594</v>
      </c>
      <c r="T31" s="169">
        <f t="shared" si="9"/>
        <v>178.1163594</v>
      </c>
      <c r="U31" s="169">
        <f t="shared" si="9"/>
        <v>178.1163594</v>
      </c>
      <c r="V31" s="169">
        <f t="shared" si="9"/>
        <v>178.1163594</v>
      </c>
      <c r="W31" s="169">
        <f t="shared" si="9"/>
        <v>178.1163594</v>
      </c>
      <c r="X31" s="169">
        <f t="shared" si="9"/>
        <v>178.1163594</v>
      </c>
      <c r="Y31" s="169">
        <f t="shared" si="9"/>
        <v>178.1163594</v>
      </c>
      <c r="Z31" s="63">
        <f t="shared" si="6"/>
        <v>178.172875935</v>
      </c>
    </row>
    <row r="32" ht="15" customHeight="1">
      <c r="A32" s="146" t="s">
        <v>392</v>
      </c>
      <c r="B32" s="169">
        <f t="shared" si="10" ref="B32:Y32">IF(B30=0,0,B11/B30)</f>
        <v>5.975</v>
      </c>
      <c r="C32" s="169">
        <f t="shared" si="10"/>
        <v>5.975</v>
      </c>
      <c r="D32" s="169">
        <f t="shared" si="10"/>
        <v>5.975</v>
      </c>
      <c r="E32" s="170">
        <f t="shared" si="10"/>
        <v>4.74142857142857</v>
      </c>
      <c r="F32" s="170">
        <f t="shared" si="10"/>
        <v>4.74142857142857</v>
      </c>
      <c r="G32" s="170">
        <f t="shared" si="10"/>
        <v>4.74142857142857</v>
      </c>
      <c r="H32" s="170">
        <f t="shared" si="10"/>
        <v>4.27833333333333</v>
      </c>
      <c r="I32" s="170">
        <f t="shared" si="10"/>
        <v>4.27833333333333</v>
      </c>
      <c r="J32" s="170">
        <f t="shared" si="10"/>
        <v>4.27833333333333</v>
      </c>
      <c r="K32" s="170">
        <f t="shared" si="10"/>
        <v>4.27833333333333</v>
      </c>
      <c r="L32" s="170">
        <f t="shared" si="10"/>
        <v>4.27833333333333</v>
      </c>
      <c r="M32" s="170">
        <f t="shared" si="10"/>
        <v>4.27833333333333</v>
      </c>
      <c r="N32" s="170">
        <f t="shared" si="10"/>
        <v>3.82888888888889</v>
      </c>
      <c r="O32" s="170">
        <f t="shared" si="10"/>
        <v>3.82888888888889</v>
      </c>
      <c r="P32" s="170">
        <f t="shared" si="10"/>
        <v>3.82888888888889</v>
      </c>
      <c r="Q32" s="170">
        <f t="shared" si="10"/>
        <v>3.82888888888889</v>
      </c>
      <c r="R32" s="170">
        <f t="shared" si="10"/>
        <v>3.82888888888889</v>
      </c>
      <c r="S32" s="170">
        <f t="shared" si="10"/>
        <v>3.82888888888889</v>
      </c>
      <c r="T32" s="169">
        <f t="shared" si="10"/>
        <v>4.0625</v>
      </c>
      <c r="U32" s="169">
        <f t="shared" si="10"/>
        <v>4.0625</v>
      </c>
      <c r="V32" s="169">
        <f t="shared" si="10"/>
        <v>4.0625</v>
      </c>
      <c r="W32" s="169">
        <f t="shared" si="10"/>
        <v>4.0625</v>
      </c>
      <c r="X32" s="169">
        <f t="shared" si="10"/>
        <v>4.0625</v>
      </c>
      <c r="Y32" s="169">
        <f t="shared" si="10"/>
        <v>4.0625</v>
      </c>
      <c r="Z32" s="73">
        <f t="shared" si="6"/>
        <v>4.38198412698412</v>
      </c>
    </row>
    <row r="33" ht="15" customHeight="1">
      <c r="A33" s="146" t="s">
        <v>443</v>
      </c>
      <c r="B33" s="169">
        <f t="shared" si="11" ref="B33:Y33">IF(B30=0,0,B21/B30)</f>
        <v>111.31163594</v>
      </c>
      <c r="C33" s="169">
        <f t="shared" si="11"/>
        <v>111.31163594</v>
      </c>
      <c r="D33" s="169">
        <f t="shared" si="11"/>
        <v>118.06163594</v>
      </c>
      <c r="E33" s="59">
        <f t="shared" si="11"/>
        <v>78.9997063108571</v>
      </c>
      <c r="F33" s="59">
        <f t="shared" si="11"/>
        <v>78.9997063108571</v>
      </c>
      <c r="G33" s="59">
        <f t="shared" si="11"/>
        <v>82.0854205965714</v>
      </c>
      <c r="H33" s="59">
        <f t="shared" si="11"/>
        <v>55.2783026066667</v>
      </c>
      <c r="I33" s="59">
        <f t="shared" si="11"/>
        <v>55.2783026066667</v>
      </c>
      <c r="J33" s="59">
        <f t="shared" si="11"/>
        <v>55.2783026066667</v>
      </c>
      <c r="K33" s="59">
        <f t="shared" si="11"/>
        <v>55.2783026066667</v>
      </c>
      <c r="L33" s="59">
        <f t="shared" si="11"/>
        <v>55.2783026066667</v>
      </c>
      <c r="M33" s="59">
        <f t="shared" si="11"/>
        <v>55.2783026066667</v>
      </c>
      <c r="N33" s="59">
        <f t="shared" si="11"/>
        <v>42.7894137177778</v>
      </c>
      <c r="O33" s="59">
        <f t="shared" si="11"/>
        <v>42.7894137177778</v>
      </c>
      <c r="P33" s="59">
        <f t="shared" si="11"/>
        <v>42.7894137177778</v>
      </c>
      <c r="Q33" s="59">
        <f t="shared" si="11"/>
        <v>42.7894137177778</v>
      </c>
      <c r="R33" s="59">
        <f t="shared" si="11"/>
        <v>42.7894137177778</v>
      </c>
      <c r="S33" s="59">
        <f t="shared" si="11"/>
        <v>42.7894137177778</v>
      </c>
      <c r="T33" s="59">
        <f t="shared" si="11"/>
        <v>36.5449692733333</v>
      </c>
      <c r="U33" s="59">
        <f t="shared" si="11"/>
        <v>36.5449692733333</v>
      </c>
      <c r="V33" s="59">
        <f t="shared" si="11"/>
        <v>36.5449692733333</v>
      </c>
      <c r="W33" s="59">
        <f t="shared" si="11"/>
        <v>36.5449692733333</v>
      </c>
      <c r="X33" s="59">
        <f t="shared" si="11"/>
        <v>36.5449692733333</v>
      </c>
      <c r="Y33" s="59">
        <f t="shared" si="11"/>
        <v>36.5449692733333</v>
      </c>
      <c r="Z33" s="63">
        <f t="shared" si="6"/>
        <v>57.851910609373</v>
      </c>
    </row>
    <row r="34" ht="15" customHeight="1">
      <c r="A34" s="146" t="s">
        <v>417</v>
      </c>
      <c r="B34" s="64">
        <f>'Opex &amp; Headcount'!B36</f>
        <v>6</v>
      </c>
      <c r="C34" s="64">
        <f>'Opex &amp; Headcount'!C36</f>
        <v>6</v>
      </c>
      <c r="D34" s="64">
        <f>'Opex &amp; Headcount'!D36</f>
        <v>7</v>
      </c>
      <c r="E34" s="64">
        <f>'Opex &amp; Headcount'!E36</f>
        <v>8</v>
      </c>
      <c r="F34" s="64">
        <f>'Opex &amp; Headcount'!F36</f>
        <v>8</v>
      </c>
      <c r="G34" s="64">
        <f>'Opex &amp; Headcount'!G36</f>
        <v>9</v>
      </c>
      <c r="H34" s="64">
        <f>'Opex &amp; Headcount'!H36</f>
        <v>9</v>
      </c>
      <c r="I34" s="64">
        <f>'Opex &amp; Headcount'!I36</f>
        <v>9</v>
      </c>
      <c r="J34" s="64">
        <f>'Opex &amp; Headcount'!J36</f>
        <v>9</v>
      </c>
      <c r="K34" s="64">
        <f>'Opex &amp; Headcount'!K36</f>
        <v>9</v>
      </c>
      <c r="L34" s="64">
        <f>'Opex &amp; Headcount'!L36</f>
        <v>9</v>
      </c>
      <c r="M34" s="64">
        <f>'Opex &amp; Headcount'!M36</f>
        <v>9</v>
      </c>
      <c r="N34" s="64">
        <f>'Opex &amp; Headcount'!N36</f>
        <v>9</v>
      </c>
      <c r="O34" s="64">
        <f>'Opex &amp; Headcount'!O36</f>
        <v>9</v>
      </c>
      <c r="P34" s="64">
        <f>'Opex &amp; Headcount'!P36</f>
        <v>9</v>
      </c>
      <c r="Q34" s="64">
        <f>'Opex &amp; Headcount'!Q36</f>
        <v>9</v>
      </c>
      <c r="R34" s="64">
        <f>'Opex &amp; Headcount'!R36</f>
        <v>9</v>
      </c>
      <c r="S34" s="64">
        <f>'Opex &amp; Headcount'!S36</f>
        <v>9</v>
      </c>
      <c r="T34" s="64">
        <f>'Opex &amp; Headcount'!T36</f>
        <v>9</v>
      </c>
      <c r="U34" s="64">
        <f>'Opex &amp; Headcount'!U36</f>
        <v>9</v>
      </c>
      <c r="V34" s="64">
        <f>'Opex &amp; Headcount'!V36</f>
        <v>9</v>
      </c>
      <c r="W34" s="64">
        <f>'Opex &amp; Headcount'!W36</f>
        <v>9</v>
      </c>
      <c r="X34" s="64">
        <f>'Opex &amp; Headcount'!X36</f>
        <v>9</v>
      </c>
      <c r="Y34" s="64">
        <f>'Opex &amp; Headcount'!Y36</f>
        <v>9</v>
      </c>
      <c r="Z34" s="73">
        <f t="shared" si="6"/>
        <v>8.58333333333333</v>
      </c>
    </row>
    <row r="35" ht="15" customHeight="1"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</row>
    <row r="36" ht="15.75" customHeight="1">
      <c r="A36" s="171" t="s">
        <v>444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2"/>
    </row>
    <row r="37" ht="15" customHeight="1"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2"/>
    </row>
    <row r="38" ht="15" customHeight="1">
      <c r="A38" s="15" t="s">
        <v>445</v>
      </c>
      <c r="B38" s="169">
        <f>B26</f>
        <v>12165.944692</v>
      </c>
      <c r="C38" s="169">
        <f t="shared" si="12" ref="C38:Y38">B38+C26</f>
        <v>24331.889384</v>
      </c>
      <c r="D38" s="169">
        <f t="shared" si="12"/>
        <v>35147.834076</v>
      </c>
      <c r="E38" s="169">
        <f t="shared" si="12"/>
        <v>68337.4089552</v>
      </c>
      <c r="F38" s="169">
        <f t="shared" si="12"/>
        <v>101526.9838344</v>
      </c>
      <c r="G38" s="169">
        <f t="shared" si="12"/>
        <v>133636.5587136</v>
      </c>
      <c r="H38" s="169">
        <f t="shared" si="12"/>
        <v>204772.3927896</v>
      </c>
      <c r="I38" s="169">
        <f t="shared" si="12"/>
        <v>275908.2268656</v>
      </c>
      <c r="J38" s="169">
        <f t="shared" si="12"/>
        <v>347044.0609416</v>
      </c>
      <c r="K38" s="169">
        <f t="shared" si="12"/>
        <v>418179.8950176</v>
      </c>
      <c r="L38" s="169">
        <f t="shared" si="12"/>
        <v>489315.7290936</v>
      </c>
      <c r="M38" s="169">
        <f t="shared" si="12"/>
        <v>560451.5631696</v>
      </c>
      <c r="N38" s="169">
        <f t="shared" si="12"/>
        <v>678799.8142836</v>
      </c>
      <c r="O38" s="169">
        <f t="shared" si="12"/>
        <v>797148.0653976</v>
      </c>
      <c r="P38" s="169">
        <f t="shared" si="12"/>
        <v>915496.3165116</v>
      </c>
      <c r="Q38" s="169">
        <f t="shared" si="12"/>
        <v>1033844.5676256</v>
      </c>
      <c r="R38" s="169">
        <f t="shared" si="12"/>
        <v>1152192.8187396</v>
      </c>
      <c r="S38" s="169">
        <f t="shared" si="12"/>
        <v>1270541.0698536</v>
      </c>
      <c r="T38" s="169">
        <f t="shared" si="12"/>
        <v>1435551.7380056</v>
      </c>
      <c r="U38" s="169">
        <f t="shared" si="12"/>
        <v>1600562.4061576</v>
      </c>
      <c r="V38" s="169">
        <f t="shared" si="12"/>
        <v>1765573.0743096</v>
      </c>
      <c r="W38" s="169">
        <f t="shared" si="12"/>
        <v>1930583.7424616</v>
      </c>
      <c r="X38" s="169">
        <f t="shared" si="12"/>
        <v>2095594.4106136</v>
      </c>
      <c r="Y38" s="169">
        <f t="shared" si="12"/>
        <v>2260605.0787656</v>
      </c>
      <c r="Z38" s="62"/>
    </row>
    <row r="39" ht="15" customHeight="1">
      <c r="A39" s="15" t="s">
        <v>446</v>
      </c>
      <c r="B39" s="172">
        <f>IF(B23&gt;0,1,IF(COUNTIF(B23:Z23,"&gt;0")&gt;0,MATCH(TRUE,B23:Z23&gt;0,0),"Not Yet"))</f>
        <v>1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2"/>
    </row>
    <row r="40" ht="15" customHeight="1">
      <c r="A40" s="15" t="s">
        <v>447</v>
      </c>
      <c r="B40" s="172">
        <f>IF(B38&gt;0,1,IF(COUNTIF(B38:Z38,"&gt;0")&gt;0,MATCH(TRUE,B38:Z38&gt;0,0),"Not Yet"))</f>
        <v>1</v>
      </c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2"/>
    </row>
    <row r="41" ht="15" customHeight="1">
      <c r="A41" s="15" t="s">
        <v>448</v>
      </c>
      <c r="B41" s="169">
        <f>Y26</f>
        <v>165010.668152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2"/>
    </row>
    <row r="42" ht="15" customHeight="1">
      <c r="A42" s="173" t="s">
        <v>449</v>
      </c>
    </row>
  </sheetData>
  <mergeCells>
    <mergeCell ref="AA4:AB4"/>
    <mergeCell ref="A1:Z1"/>
    <mergeCell ref="A2:Z2"/>
    <mergeCell ref="A5:Z5"/>
    <mergeCell ref="A9:Z9"/>
    <mergeCell ref="A16:Z16"/>
    <mergeCell ref="A29:Z29"/>
    <mergeCell ref="A36:Z36"/>
    <mergeCell ref="A42:Z42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8083118-5538-F218-D2C2-BB302E25C548}" mc:Ignorable="x14ac xr xr2 xr3">
  <dimension ref="A1:GR1000"/>
  <sheetViews>
    <sheetView workbookViewId="0">
      <pane xSplit="1" ySplit="4" topLeftCell="S5" activePane="bottomRight" state="frozen"/>
      <selection pane="bottomLeft" activeCell="A5" sqref="A5"/>
      <selection pane="topRight" activeCell="B1" sqref="B1"/>
      <selection pane="bottomRight" activeCell="A1" sqref="A1:AA1"/>
    </sheetView>
  </sheetViews>
  <sheetFormatPr defaultRowHeight="15" defaultColWidth="8.8515625" customHeight="1"/>
  <cols>
    <col min="1" max="1" width="35.7109375" customWidth="1"/>
    <col min="2" max="28" width="14.28125" customWidth="1"/>
    <col min="29" max="29" width="31.421875" customWidth="1"/>
    <col min="30" max="30" width="21.421875" customWidth="1"/>
  </cols>
  <sheetData>
    <row r="1" ht="18.75" customHeight="1">
      <c r="A1" s="68" t="s">
        <v>450</v>
      </c>
    </row>
    <row r="2" ht="15.75" customHeight="1">
      <c r="A2" s="174" t="s">
        <v>451</v>
      </c>
    </row>
    <row r="4" ht="16.5" customHeight="1">
      <c r="A4" s="175" t="s">
        <v>452</v>
      </c>
      <c r="B4" s="175" t="s">
        <v>453</v>
      </c>
      <c r="C4" s="175" t="s">
        <v>270</v>
      </c>
      <c r="D4" s="175" t="s">
        <v>271</v>
      </c>
      <c r="E4" s="175" t="s">
        <v>272</v>
      </c>
      <c r="F4" s="175" t="s">
        <v>15</v>
      </c>
      <c r="G4" s="175" t="s">
        <v>273</v>
      </c>
      <c r="H4" s="175" t="s">
        <v>274</v>
      </c>
      <c r="I4" s="175" t="s">
        <v>275</v>
      </c>
      <c r="J4" s="175" t="s">
        <v>276</v>
      </c>
      <c r="K4" s="175" t="s">
        <v>277</v>
      </c>
      <c r="L4" s="175" t="s">
        <v>278</v>
      </c>
      <c r="M4" s="175" t="s">
        <v>279</v>
      </c>
      <c r="N4" s="175" t="s">
        <v>280</v>
      </c>
      <c r="O4" s="175" t="s">
        <v>281</v>
      </c>
      <c r="P4" s="175" t="s">
        <v>282</v>
      </c>
      <c r="Q4" s="175" t="s">
        <v>283</v>
      </c>
      <c r="R4" s="175" t="s">
        <v>284</v>
      </c>
      <c r="S4" s="175" t="s">
        <v>285</v>
      </c>
      <c r="T4" s="175" t="s">
        <v>286</v>
      </c>
      <c r="U4" s="175" t="s">
        <v>287</v>
      </c>
      <c r="V4" s="175" t="s">
        <v>288</v>
      </c>
      <c r="W4" s="175" t="s">
        <v>289</v>
      </c>
      <c r="X4" s="175" t="s">
        <v>290</v>
      </c>
      <c r="Y4" s="175" t="s">
        <v>291</v>
      </c>
      <c r="Z4" s="175" t="s">
        <v>292</v>
      </c>
      <c r="AC4" s="176" t="s">
        <v>454</v>
      </c>
    </row>
    <row r="5" ht="16.5" customHeight="1">
      <c r="A5" s="177" t="s">
        <v>455</v>
      </c>
      <c r="AC5" s="178" t="s">
        <v>456</v>
      </c>
      <c r="AD5" s="48">
        <f>B18</f>
        <v>1000100</v>
      </c>
    </row>
    <row r="6" ht="15" customHeight="1">
      <c r="A6" s="96" t="s">
        <v>457</v>
      </c>
      <c r="B6" s="48">
        <v>0</v>
      </c>
      <c r="C6" s="48">
        <f>'P&amp;L'!B7</f>
        <v>35623.27188</v>
      </c>
      <c r="D6" s="48">
        <f>'P&amp;L'!C7</f>
        <v>35623.27188</v>
      </c>
      <c r="E6" s="48">
        <f>'P&amp;L'!D7</f>
        <v>35623.27188</v>
      </c>
      <c r="F6" s="48">
        <f>'P&amp;L'!E7</f>
        <v>62498.972088</v>
      </c>
      <c r="G6" s="48">
        <f>'P&amp;L'!F7</f>
        <v>62498.972088</v>
      </c>
      <c r="H6" s="48">
        <f>'P&amp;L'!G7</f>
        <v>62498.972088</v>
      </c>
      <c r="I6" s="48">
        <f>'P&amp;L'!H7</f>
        <v>106869.81564</v>
      </c>
      <c r="J6" s="48">
        <f>'P&amp;L'!I7</f>
        <v>106869.81564</v>
      </c>
      <c r="K6" s="48">
        <f>'P&amp;L'!J7</f>
        <v>106869.81564</v>
      </c>
      <c r="L6" s="48">
        <f>'P&amp;L'!K7</f>
        <v>106869.81564</v>
      </c>
      <c r="M6" s="48">
        <f>'P&amp;L'!L7</f>
        <v>106869.81564</v>
      </c>
      <c r="N6" s="48">
        <f>'P&amp;L'!M7</f>
        <v>106869.81564</v>
      </c>
      <c r="O6" s="48">
        <f>'P&amp;L'!N7</f>
        <v>160304.72346</v>
      </c>
      <c r="P6" s="48">
        <f>'P&amp;L'!O7</f>
        <v>160304.72346</v>
      </c>
      <c r="Q6" s="48">
        <f>'P&amp;L'!P7</f>
        <v>160304.72346</v>
      </c>
      <c r="R6" s="48">
        <f>'P&amp;L'!Q7</f>
        <v>160304.72346</v>
      </c>
      <c r="S6" s="48">
        <f>'P&amp;L'!R7</f>
        <v>160304.72346</v>
      </c>
      <c r="T6" s="48">
        <f>'P&amp;L'!S7</f>
        <v>160304.72346</v>
      </c>
      <c r="U6" s="48">
        <f>'P&amp;L'!T7</f>
        <v>213739.63128</v>
      </c>
      <c r="V6" s="48">
        <f>'P&amp;L'!U7</f>
        <v>213739.63128</v>
      </c>
      <c r="W6" s="48">
        <f>'P&amp;L'!V7</f>
        <v>213739.63128</v>
      </c>
      <c r="X6" s="48">
        <f>'P&amp;L'!W7</f>
        <v>213739.63128</v>
      </c>
      <c r="Y6" s="48">
        <f>'P&amp;L'!X7</f>
        <v>213739.63128</v>
      </c>
      <c r="Z6" s="48">
        <f>'P&amp;L'!Y7</f>
        <v>213739.63128</v>
      </c>
      <c r="AC6" s="178" t="s">
        <v>458</v>
      </c>
      <c r="AD6" s="48">
        <f>Z18</f>
        <v>3260705.0787656</v>
      </c>
    </row>
    <row r="7" ht="15" customHeight="1">
      <c r="A7" s="96" t="s">
        <v>459</v>
      </c>
      <c r="B7" s="48">
        <f>Assumptions!$B$65</f>
        <v>500000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C7" s="178" t="s">
        <v>460</v>
      </c>
      <c r="AD7" s="48">
        <f>SUM(C8:Z8)</f>
        <v>3179851.754184</v>
      </c>
    </row>
    <row r="8" ht="15" customHeight="1">
      <c r="A8" s="96" t="s">
        <v>461</v>
      </c>
      <c r="B8" s="179">
        <f t="shared" si="0" ref="B8:Z13">B6+B7</f>
        <v>500000</v>
      </c>
      <c r="C8" s="179">
        <f t="shared" si="0"/>
        <v>35623.27188</v>
      </c>
      <c r="D8" s="179">
        <f t="shared" si="0"/>
        <v>35623.27188</v>
      </c>
      <c r="E8" s="179">
        <f t="shared" si="0"/>
        <v>35623.27188</v>
      </c>
      <c r="F8" s="179">
        <f t="shared" si="0"/>
        <v>62498.972088</v>
      </c>
      <c r="G8" s="179">
        <f t="shared" si="0"/>
        <v>62498.972088</v>
      </c>
      <c r="H8" s="179">
        <f t="shared" si="0"/>
        <v>62498.972088</v>
      </c>
      <c r="I8" s="179">
        <f t="shared" si="0"/>
        <v>106869.81564</v>
      </c>
      <c r="J8" s="179">
        <f t="shared" si="0"/>
        <v>106869.81564</v>
      </c>
      <c r="K8" s="179">
        <f t="shared" si="0"/>
        <v>106869.81564</v>
      </c>
      <c r="L8" s="179">
        <f t="shared" si="0"/>
        <v>106869.81564</v>
      </c>
      <c r="M8" s="179">
        <f t="shared" si="0"/>
        <v>106869.81564</v>
      </c>
      <c r="N8" s="179">
        <f t="shared" si="0"/>
        <v>106869.81564</v>
      </c>
      <c r="O8" s="179">
        <f t="shared" si="0"/>
        <v>160304.72346</v>
      </c>
      <c r="P8" s="179">
        <f t="shared" si="0"/>
        <v>160304.72346</v>
      </c>
      <c r="Q8" s="179">
        <f t="shared" si="0"/>
        <v>160304.72346</v>
      </c>
      <c r="R8" s="179">
        <f t="shared" si="0"/>
        <v>160304.72346</v>
      </c>
      <c r="S8" s="179">
        <f t="shared" si="0"/>
        <v>160304.72346</v>
      </c>
      <c r="T8" s="179">
        <f t="shared" si="0"/>
        <v>160304.72346</v>
      </c>
      <c r="U8" s="179">
        <f t="shared" si="0"/>
        <v>213739.63128</v>
      </c>
      <c r="V8" s="179">
        <f t="shared" si="0"/>
        <v>213739.63128</v>
      </c>
      <c r="W8" s="179">
        <f t="shared" si="0"/>
        <v>213739.63128</v>
      </c>
      <c r="X8" s="179">
        <f t="shared" si="0"/>
        <v>213739.63128</v>
      </c>
      <c r="Y8" s="179">
        <f t="shared" si="0"/>
        <v>213739.63128</v>
      </c>
      <c r="Z8" s="179">
        <f t="shared" si="0"/>
        <v>213739.63128</v>
      </c>
      <c r="AC8" s="178" t="s">
        <v>462</v>
      </c>
      <c r="AD8" s="48">
        <f>SUM(C13:Z13)</f>
        <v>919246.6754184</v>
      </c>
    </row>
    <row r="9" ht="15" customHeight="1"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C9" s="178" t="s">
        <v>463</v>
      </c>
      <c r="AD9" s="48">
        <f t="shared" si="1" ref="AD9:AD10">B29</f>
        <v>100</v>
      </c>
    </row>
    <row r="10" ht="16.5" customHeight="1">
      <c r="A10" s="177" t="s">
        <v>464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C10" s="178" t="s">
        <v>465</v>
      </c>
      <c r="AD10" s="180" t="e">
        <f t="shared" si="1"/>
        <v>#N/A</v>
      </c>
    </row>
    <row r="11" ht="15" customHeight="1">
      <c r="A11" s="96" t="s">
        <v>466</v>
      </c>
      <c r="B11" s="48">
        <v>0</v>
      </c>
      <c r="C11" s="48">
        <f>'P&amp;L'!B11</f>
        <v>1195</v>
      </c>
      <c r="D11" s="48">
        <f>'P&amp;L'!C11</f>
        <v>1195</v>
      </c>
      <c r="E11" s="48">
        <f>'P&amp;L'!D11</f>
        <v>1195</v>
      </c>
      <c r="F11" s="48">
        <f>'P&amp;L'!E11</f>
        <v>1659.5</v>
      </c>
      <c r="G11" s="48">
        <f>'P&amp;L'!F11</f>
        <v>1659.5</v>
      </c>
      <c r="H11" s="48">
        <f>'P&amp;L'!G11</f>
        <v>1659.5</v>
      </c>
      <c r="I11" s="48">
        <f>'P&amp;L'!H11</f>
        <v>2567</v>
      </c>
      <c r="J11" s="48">
        <f>'P&amp;L'!I11</f>
        <v>2567</v>
      </c>
      <c r="K11" s="48">
        <f>'P&amp;L'!J11</f>
        <v>2567</v>
      </c>
      <c r="L11" s="48">
        <f>'P&amp;L'!K11</f>
        <v>2567</v>
      </c>
      <c r="M11" s="48">
        <f>'P&amp;L'!L11</f>
        <v>2567</v>
      </c>
      <c r="N11" s="48">
        <f>'P&amp;L'!M11</f>
        <v>2567</v>
      </c>
      <c r="O11" s="48">
        <f>'P&amp;L'!N11</f>
        <v>3446</v>
      </c>
      <c r="P11" s="48">
        <f>'P&amp;L'!O11</f>
        <v>3446</v>
      </c>
      <c r="Q11" s="48">
        <f>'P&amp;L'!P11</f>
        <v>3446</v>
      </c>
      <c r="R11" s="48">
        <f>'P&amp;L'!Q11</f>
        <v>3446</v>
      </c>
      <c r="S11" s="48">
        <f>'P&amp;L'!R11</f>
        <v>3446</v>
      </c>
      <c r="T11" s="48">
        <f>'P&amp;L'!S11</f>
        <v>3446</v>
      </c>
      <c r="U11" s="48">
        <f>'P&amp;L'!T11</f>
        <v>4875</v>
      </c>
      <c r="V11" s="48">
        <f>'P&amp;L'!U11</f>
        <v>4875</v>
      </c>
      <c r="W11" s="48">
        <f>'P&amp;L'!V11</f>
        <v>4875</v>
      </c>
      <c r="X11" s="48">
        <f>'P&amp;L'!W11</f>
        <v>4875</v>
      </c>
      <c r="Y11" s="48">
        <f>'P&amp;L'!X11</f>
        <v>4875</v>
      </c>
      <c r="Z11" s="48">
        <f>'P&amp;L'!Y11</f>
        <v>4875</v>
      </c>
      <c r="AC11" s="178" t="s">
        <v>467</v>
      </c>
      <c r="AD11" s="180">
        <f>COUNTIF(C19:Z19,"&gt;0")</f>
        <v>0</v>
      </c>
    </row>
    <row r="12" ht="15" customHeight="1">
      <c r="A12" s="96" t="s">
        <v>468</v>
      </c>
      <c r="B12" s="48">
        <v>0</v>
      </c>
      <c r="C12" s="48">
        <f>'P&amp;L'!B21</f>
        <v>22262.327188</v>
      </c>
      <c r="D12" s="48">
        <f>'P&amp;L'!C21</f>
        <v>22262.327188</v>
      </c>
      <c r="E12" s="48">
        <f>'P&amp;L'!D21</f>
        <v>23612.327188</v>
      </c>
      <c r="F12" s="48">
        <f>'P&amp;L'!E21</f>
        <v>27649.8972088</v>
      </c>
      <c r="G12" s="48">
        <f>'P&amp;L'!F21</f>
        <v>27649.8972088</v>
      </c>
      <c r="H12" s="48">
        <f>'P&amp;L'!G21</f>
        <v>28729.8972088</v>
      </c>
      <c r="I12" s="48">
        <f>'P&amp;L'!H21</f>
        <v>33166.981564</v>
      </c>
      <c r="J12" s="48">
        <f>'P&amp;L'!I21</f>
        <v>33166.981564</v>
      </c>
      <c r="K12" s="48">
        <f>'P&amp;L'!J21</f>
        <v>33166.981564</v>
      </c>
      <c r="L12" s="48">
        <f>'P&amp;L'!K21</f>
        <v>33166.981564</v>
      </c>
      <c r="M12" s="48">
        <f>'P&amp;L'!L21</f>
        <v>33166.981564</v>
      </c>
      <c r="N12" s="48">
        <f>'P&amp;L'!M21</f>
        <v>33166.981564</v>
      </c>
      <c r="O12" s="48">
        <f>'P&amp;L'!N21</f>
        <v>38510.472346</v>
      </c>
      <c r="P12" s="48">
        <f>'P&amp;L'!O21</f>
        <v>38510.472346</v>
      </c>
      <c r="Q12" s="48">
        <f>'P&amp;L'!P21</f>
        <v>38510.472346</v>
      </c>
      <c r="R12" s="48">
        <f>'P&amp;L'!Q21</f>
        <v>38510.472346</v>
      </c>
      <c r="S12" s="48">
        <f>'P&amp;L'!R21</f>
        <v>38510.472346</v>
      </c>
      <c r="T12" s="48">
        <f>'P&amp;L'!S21</f>
        <v>38510.472346</v>
      </c>
      <c r="U12" s="48">
        <f>'P&amp;L'!T21</f>
        <v>43853.963128</v>
      </c>
      <c r="V12" s="48">
        <f>'P&amp;L'!U21</f>
        <v>43853.963128</v>
      </c>
      <c r="W12" s="48">
        <f>'P&amp;L'!V21</f>
        <v>43853.963128</v>
      </c>
      <c r="X12" s="48">
        <f>'P&amp;L'!W21</f>
        <v>43853.963128</v>
      </c>
      <c r="Y12" s="48">
        <f>'P&amp;L'!X21</f>
        <v>43853.963128</v>
      </c>
      <c r="Z12" s="48">
        <f>'P&amp;L'!Y21</f>
        <v>43853.963128</v>
      </c>
      <c r="AC12" s="178" t="s">
        <v>469</v>
      </c>
      <c r="AD12" s="48">
        <v>1</v>
      </c>
    </row>
    <row r="13" ht="15" customHeight="1">
      <c r="A13" s="96" t="s">
        <v>470</v>
      </c>
      <c r="B13" s="179">
        <f t="shared" si="0"/>
        <v>0</v>
      </c>
      <c r="C13" s="179">
        <f t="shared" si="0"/>
        <v>23457.327188</v>
      </c>
      <c r="D13" s="179">
        <f t="shared" si="0"/>
        <v>23457.327188</v>
      </c>
      <c r="E13" s="179">
        <f t="shared" si="0"/>
        <v>24807.327188</v>
      </c>
      <c r="F13" s="179">
        <f t="shared" si="0"/>
        <v>29309.3972088</v>
      </c>
      <c r="G13" s="179">
        <f t="shared" si="0"/>
        <v>29309.3972088</v>
      </c>
      <c r="H13" s="179">
        <f t="shared" si="0"/>
        <v>30389.3972088</v>
      </c>
      <c r="I13" s="179">
        <f t="shared" si="0"/>
        <v>35733.981564</v>
      </c>
      <c r="J13" s="179">
        <f t="shared" si="0"/>
        <v>35733.981564</v>
      </c>
      <c r="K13" s="179">
        <f t="shared" si="0"/>
        <v>35733.981564</v>
      </c>
      <c r="L13" s="179">
        <f t="shared" si="0"/>
        <v>35733.981564</v>
      </c>
      <c r="M13" s="179">
        <f t="shared" si="0"/>
        <v>35733.981564</v>
      </c>
      <c r="N13" s="179">
        <f t="shared" si="0"/>
        <v>35733.981564</v>
      </c>
      <c r="O13" s="179">
        <f t="shared" si="0"/>
        <v>41956.472346</v>
      </c>
      <c r="P13" s="179">
        <f t="shared" si="0"/>
        <v>41956.472346</v>
      </c>
      <c r="Q13" s="179">
        <f t="shared" si="0"/>
        <v>41956.472346</v>
      </c>
      <c r="R13" s="179">
        <f t="shared" si="0"/>
        <v>41956.472346</v>
      </c>
      <c r="S13" s="179">
        <f t="shared" si="0"/>
        <v>41956.472346</v>
      </c>
      <c r="T13" s="179">
        <f t="shared" si="0"/>
        <v>41956.472346</v>
      </c>
      <c r="U13" s="179">
        <f t="shared" si="0"/>
        <v>48728.963128</v>
      </c>
      <c r="V13" s="179">
        <f t="shared" si="0"/>
        <v>48728.963128</v>
      </c>
      <c r="W13" s="179">
        <f t="shared" si="0"/>
        <v>48728.963128</v>
      </c>
      <c r="X13" s="179">
        <f t="shared" si="0"/>
        <v>48728.963128</v>
      </c>
      <c r="Y13" s="179">
        <f t="shared" si="0"/>
        <v>48728.963128</v>
      </c>
      <c r="Z13" s="179">
        <f t="shared" si="0"/>
        <v>48728.963128</v>
      </c>
      <c r="AC13" s="178" t="s">
        <v>471</v>
      </c>
      <c r="AD13" s="180">
        <f>AVERAGE(C19:H19)</f>
        <v>0</v>
      </c>
    </row>
    <row r="14" ht="15" customHeight="1">
      <c r="A14" s="96" t="s">
        <v>472</v>
      </c>
      <c r="B14" s="179">
        <f t="shared" si="2" ref="B14:Z14">B8-B13</f>
        <v>500000</v>
      </c>
      <c r="C14" s="179">
        <f t="shared" si="2"/>
        <v>12165.944692</v>
      </c>
      <c r="D14" s="179">
        <f t="shared" si="2"/>
        <v>12165.944692</v>
      </c>
      <c r="E14" s="179">
        <f t="shared" si="2"/>
        <v>10815.944692</v>
      </c>
      <c r="F14" s="179">
        <f t="shared" si="2"/>
        <v>33189.5748792</v>
      </c>
      <c r="G14" s="179">
        <f t="shared" si="2"/>
        <v>33189.5748792</v>
      </c>
      <c r="H14" s="179">
        <f t="shared" si="2"/>
        <v>32109.5748792</v>
      </c>
      <c r="I14" s="179">
        <f t="shared" si="2"/>
        <v>71135.834076</v>
      </c>
      <c r="J14" s="179">
        <f t="shared" si="2"/>
        <v>71135.834076</v>
      </c>
      <c r="K14" s="179">
        <f t="shared" si="2"/>
        <v>71135.834076</v>
      </c>
      <c r="L14" s="179">
        <f t="shared" si="2"/>
        <v>71135.834076</v>
      </c>
      <c r="M14" s="179">
        <f t="shared" si="2"/>
        <v>71135.834076</v>
      </c>
      <c r="N14" s="179">
        <f t="shared" si="2"/>
        <v>71135.834076</v>
      </c>
      <c r="O14" s="179">
        <f t="shared" si="2"/>
        <v>118348.251114</v>
      </c>
      <c r="P14" s="179">
        <f t="shared" si="2"/>
        <v>118348.251114</v>
      </c>
      <c r="Q14" s="179">
        <f t="shared" si="2"/>
        <v>118348.251114</v>
      </c>
      <c r="R14" s="179">
        <f t="shared" si="2"/>
        <v>118348.251114</v>
      </c>
      <c r="S14" s="179">
        <f t="shared" si="2"/>
        <v>118348.251114</v>
      </c>
      <c r="T14" s="179">
        <f t="shared" si="2"/>
        <v>118348.251114</v>
      </c>
      <c r="U14" s="179">
        <f t="shared" si="2"/>
        <v>165010.668152</v>
      </c>
      <c r="V14" s="179">
        <f t="shared" si="2"/>
        <v>165010.668152</v>
      </c>
      <c r="W14" s="179">
        <f t="shared" si="2"/>
        <v>165010.668152</v>
      </c>
      <c r="X14" s="179">
        <f t="shared" si="2"/>
        <v>165010.668152</v>
      </c>
      <c r="Y14" s="179">
        <f t="shared" si="2"/>
        <v>165010.668152</v>
      </c>
      <c r="Z14" s="179">
        <f t="shared" si="2"/>
        <v>165010.668152</v>
      </c>
      <c r="AC14" s="178" t="s">
        <v>473</v>
      </c>
      <c r="AD14" s="180" t="s">
        <v>10</v>
      </c>
    </row>
    <row r="15" ht="15" customHeight="1"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D15" s="180"/>
    </row>
    <row r="16" ht="16.5" customHeight="1">
      <c r="A16" s="177" t="s">
        <v>474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C16" t="s">
        <v>475</v>
      </c>
      <c r="AD16" s="48">
        <v>1</v>
      </c>
    </row>
    <row r="17" ht="15" customHeight="1">
      <c r="A17" s="96" t="s">
        <v>476</v>
      </c>
      <c r="B17" s="48">
        <f>Assumptions!$B$66</f>
        <v>100</v>
      </c>
      <c r="C17" s="48">
        <f t="shared" si="3" ref="C17:Z17">B18</f>
        <v>1000100</v>
      </c>
      <c r="D17" s="48">
        <f t="shared" si="3"/>
        <v>1012265.944692</v>
      </c>
      <c r="E17" s="48">
        <f t="shared" si="3"/>
        <v>1024431.889384</v>
      </c>
      <c r="F17" s="48">
        <f t="shared" si="3"/>
        <v>1035247.834076</v>
      </c>
      <c r="G17" s="48">
        <f t="shared" si="3"/>
        <v>1068437.4089552</v>
      </c>
      <c r="H17" s="48">
        <f t="shared" si="3"/>
        <v>1101626.9838344</v>
      </c>
      <c r="I17" s="48">
        <f t="shared" si="3"/>
        <v>1133736.5587136</v>
      </c>
      <c r="J17" s="48">
        <f t="shared" si="3"/>
        <v>1204872.3927896</v>
      </c>
      <c r="K17" s="48">
        <f t="shared" si="3"/>
        <v>1276008.2268656</v>
      </c>
      <c r="L17" s="48">
        <f t="shared" si="3"/>
        <v>1347144.0609416</v>
      </c>
      <c r="M17" s="48">
        <f t="shared" si="3"/>
        <v>1418279.8950176</v>
      </c>
      <c r="N17" s="48">
        <f t="shared" si="3"/>
        <v>1489415.7290936</v>
      </c>
      <c r="O17" s="48">
        <f t="shared" si="3"/>
        <v>1560551.5631696</v>
      </c>
      <c r="P17" s="48">
        <f t="shared" si="3"/>
        <v>1678899.8142836</v>
      </c>
      <c r="Q17" s="48">
        <f t="shared" si="3"/>
        <v>1797248.0653976</v>
      </c>
      <c r="R17" s="48">
        <f t="shared" si="3"/>
        <v>1915596.3165116</v>
      </c>
      <c r="S17" s="48">
        <f t="shared" si="3"/>
        <v>2033944.5676256</v>
      </c>
      <c r="T17" s="48">
        <f t="shared" si="3"/>
        <v>2152292.8187396</v>
      </c>
      <c r="U17" s="48">
        <f t="shared" si="3"/>
        <v>2270641.0698536</v>
      </c>
      <c r="V17" s="48">
        <f t="shared" si="3"/>
        <v>2435651.7380056</v>
      </c>
      <c r="W17" s="48">
        <f t="shared" si="3"/>
        <v>2600662.4061576</v>
      </c>
      <c r="X17" s="48">
        <f t="shared" si="3"/>
        <v>2765673.0743096</v>
      </c>
      <c r="Y17" s="48">
        <f t="shared" si="3"/>
        <v>2930683.7424616</v>
      </c>
      <c r="Z17" s="48">
        <f t="shared" si="3"/>
        <v>3095694.4106136</v>
      </c>
      <c r="AD17" s="180"/>
    </row>
    <row r="18" ht="15" customHeight="1">
      <c r="A18" s="96" t="s">
        <v>477</v>
      </c>
      <c r="B18" s="108">
        <f>B17+B7+B14</f>
        <v>1000100</v>
      </c>
      <c r="C18" s="108">
        <f t="shared" si="4" ref="C18:Z18">C17+C14</f>
        <v>1012265.944692</v>
      </c>
      <c r="D18" s="108">
        <f t="shared" si="4"/>
        <v>1024431.889384</v>
      </c>
      <c r="E18" s="108">
        <f t="shared" si="4"/>
        <v>1035247.834076</v>
      </c>
      <c r="F18" s="108">
        <f t="shared" si="4"/>
        <v>1068437.4089552</v>
      </c>
      <c r="G18" s="108">
        <f t="shared" si="4"/>
        <v>1101626.9838344</v>
      </c>
      <c r="H18" s="108">
        <f t="shared" si="4"/>
        <v>1133736.5587136</v>
      </c>
      <c r="I18" s="108">
        <f t="shared" si="4"/>
        <v>1204872.3927896</v>
      </c>
      <c r="J18" s="108">
        <f t="shared" si="4"/>
        <v>1276008.2268656</v>
      </c>
      <c r="K18" s="108">
        <f t="shared" si="4"/>
        <v>1347144.0609416</v>
      </c>
      <c r="L18" s="108">
        <f t="shared" si="4"/>
        <v>1418279.8950176</v>
      </c>
      <c r="M18" s="108">
        <f t="shared" si="4"/>
        <v>1489415.7290936</v>
      </c>
      <c r="N18" s="108">
        <f t="shared" si="4"/>
        <v>1560551.5631696</v>
      </c>
      <c r="O18" s="108">
        <f t="shared" si="4"/>
        <v>1678899.8142836</v>
      </c>
      <c r="P18" s="108">
        <f t="shared" si="4"/>
        <v>1797248.0653976</v>
      </c>
      <c r="Q18" s="108">
        <f t="shared" si="4"/>
        <v>1915596.3165116</v>
      </c>
      <c r="R18" s="108">
        <f t="shared" si="4"/>
        <v>2033944.5676256</v>
      </c>
      <c r="S18" s="108">
        <f t="shared" si="4"/>
        <v>2152292.8187396</v>
      </c>
      <c r="T18" s="108">
        <f t="shared" si="4"/>
        <v>2270641.0698536</v>
      </c>
      <c r="U18" s="108">
        <f t="shared" si="4"/>
        <v>2435651.7380056</v>
      </c>
      <c r="V18" s="108">
        <f t="shared" si="4"/>
        <v>2600662.4061576</v>
      </c>
      <c r="W18" s="108">
        <f t="shared" si="4"/>
        <v>2765673.0743096</v>
      </c>
      <c r="X18" s="108">
        <f t="shared" si="4"/>
        <v>2930683.7424616</v>
      </c>
      <c r="Y18" s="108">
        <f t="shared" si="4"/>
        <v>3095694.4106136</v>
      </c>
      <c r="Z18" s="108">
        <f t="shared" si="4"/>
        <v>3260705.0787656</v>
      </c>
      <c r="AD18" s="180"/>
    </row>
    <row r="19" ht="15" customHeight="1">
      <c r="A19" s="96" t="s">
        <v>478</v>
      </c>
      <c r="B19" s="48">
        <v>0</v>
      </c>
      <c r="C19" s="48">
        <f t="shared" si="5" ref="C19:Z19">IF(C14&lt;0,ABS(C14),0)</f>
        <v>0</v>
      </c>
      <c r="D19" s="48">
        <f t="shared" si="5"/>
        <v>0</v>
      </c>
      <c r="E19" s="48">
        <f t="shared" si="5"/>
        <v>0</v>
      </c>
      <c r="F19" s="48">
        <f t="shared" si="5"/>
        <v>0</v>
      </c>
      <c r="G19" s="48">
        <f t="shared" si="5"/>
        <v>0</v>
      </c>
      <c r="H19" s="48">
        <f t="shared" si="5"/>
        <v>0</v>
      </c>
      <c r="I19" s="48">
        <f t="shared" si="5"/>
        <v>0</v>
      </c>
      <c r="J19" s="48">
        <f t="shared" si="5"/>
        <v>0</v>
      </c>
      <c r="K19" s="48">
        <f t="shared" si="5"/>
        <v>0</v>
      </c>
      <c r="L19" s="48">
        <f t="shared" si="5"/>
        <v>0</v>
      </c>
      <c r="M19" s="48">
        <f t="shared" si="5"/>
        <v>0</v>
      </c>
      <c r="N19" s="48">
        <f t="shared" si="5"/>
        <v>0</v>
      </c>
      <c r="O19" s="48">
        <f t="shared" si="5"/>
        <v>0</v>
      </c>
      <c r="P19" s="48">
        <f t="shared" si="5"/>
        <v>0</v>
      </c>
      <c r="Q19" s="48">
        <f t="shared" si="5"/>
        <v>0</v>
      </c>
      <c r="R19" s="48">
        <f t="shared" si="5"/>
        <v>0</v>
      </c>
      <c r="S19" s="48">
        <f t="shared" si="5"/>
        <v>0</v>
      </c>
      <c r="T19" s="48">
        <f t="shared" si="5"/>
        <v>0</v>
      </c>
      <c r="U19" s="48">
        <f t="shared" si="5"/>
        <v>0</v>
      </c>
      <c r="V19" s="48">
        <f t="shared" si="5"/>
        <v>0</v>
      </c>
      <c r="W19" s="48">
        <f t="shared" si="5"/>
        <v>0</v>
      </c>
      <c r="X19" s="48">
        <f t="shared" si="5"/>
        <v>0</v>
      </c>
      <c r="Y19" s="48">
        <f t="shared" si="5"/>
        <v>0</v>
      </c>
      <c r="Z19" s="48">
        <f t="shared" si="5"/>
        <v>0</v>
      </c>
      <c r="AD19" s="180"/>
    </row>
    <row r="20" ht="15" customHeight="1">
      <c r="A20" s="96" t="s">
        <v>479</v>
      </c>
      <c r="B20" s="48" t="s">
        <v>217</v>
      </c>
      <c r="C20" s="48" t="str">
        <f t="shared" si="6" ref="C20:Z20">IF(C19&gt;0,C18/C19,"Cashflow Positive")</f>
        <v>Cashflow Positive</v>
      </c>
      <c r="D20" s="48" t="str">
        <f t="shared" si="6"/>
        <v>Cashflow Positive</v>
      </c>
      <c r="E20" s="48" t="str">
        <f t="shared" si="6"/>
        <v>Cashflow Positive</v>
      </c>
      <c r="F20" s="48" t="str">
        <f t="shared" si="6"/>
        <v>Cashflow Positive</v>
      </c>
      <c r="G20" s="48" t="str">
        <f t="shared" si="6"/>
        <v>Cashflow Positive</v>
      </c>
      <c r="H20" s="48" t="str">
        <f t="shared" si="6"/>
        <v>Cashflow Positive</v>
      </c>
      <c r="I20" s="48" t="str">
        <f t="shared" si="6"/>
        <v>Cashflow Positive</v>
      </c>
      <c r="J20" s="48" t="str">
        <f t="shared" si="6"/>
        <v>Cashflow Positive</v>
      </c>
      <c r="K20" s="48" t="str">
        <f t="shared" si="6"/>
        <v>Cashflow Positive</v>
      </c>
      <c r="L20" s="48" t="str">
        <f t="shared" si="6"/>
        <v>Cashflow Positive</v>
      </c>
      <c r="M20" s="48" t="str">
        <f t="shared" si="6"/>
        <v>Cashflow Positive</v>
      </c>
      <c r="N20" s="48" t="str">
        <f t="shared" si="6"/>
        <v>Cashflow Positive</v>
      </c>
      <c r="O20" s="48" t="str">
        <f t="shared" si="6"/>
        <v>Cashflow Positive</v>
      </c>
      <c r="P20" s="48" t="str">
        <f t="shared" si="6"/>
        <v>Cashflow Positive</v>
      </c>
      <c r="Q20" s="48" t="str">
        <f t="shared" si="6"/>
        <v>Cashflow Positive</v>
      </c>
      <c r="R20" s="48" t="str">
        <f t="shared" si="6"/>
        <v>Cashflow Positive</v>
      </c>
      <c r="S20" s="48" t="str">
        <f t="shared" si="6"/>
        <v>Cashflow Positive</v>
      </c>
      <c r="T20" s="48" t="str">
        <f t="shared" si="6"/>
        <v>Cashflow Positive</v>
      </c>
      <c r="U20" s="48" t="str">
        <f t="shared" si="6"/>
        <v>Cashflow Positive</v>
      </c>
      <c r="V20" s="48" t="str">
        <f t="shared" si="6"/>
        <v>Cashflow Positive</v>
      </c>
      <c r="W20" s="48" t="str">
        <f t="shared" si="6"/>
        <v>Cashflow Positive</v>
      </c>
      <c r="X20" s="48" t="str">
        <f t="shared" si="6"/>
        <v>Cashflow Positive</v>
      </c>
      <c r="Y20" s="48" t="str">
        <f t="shared" si="6"/>
        <v>Cashflow Positive</v>
      </c>
      <c r="Z20" s="48" t="str">
        <f t="shared" si="6"/>
        <v>Cashflow Positive</v>
      </c>
      <c r="AD20" s="180"/>
    </row>
    <row r="21" ht="15" customHeight="1"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D21" s="180"/>
    </row>
    <row r="22" ht="16.5" customHeight="1">
      <c r="A22" s="177" t="s">
        <v>480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D22" s="180"/>
    </row>
    <row r="23" ht="15" customHeight="1">
      <c r="A23" s="96" t="s">
        <v>481</v>
      </c>
      <c r="B23" s="48">
        <v>0</v>
      </c>
      <c r="C23" s="48">
        <f t="shared" si="7" ref="C23:Z23">B23+C6</f>
        <v>35623.27188</v>
      </c>
      <c r="D23" s="48">
        <f t="shared" si="7"/>
        <v>71246.54376</v>
      </c>
      <c r="E23" s="48">
        <f t="shared" si="7"/>
        <v>106869.81564</v>
      </c>
      <c r="F23" s="48">
        <f t="shared" si="7"/>
        <v>169368.787728</v>
      </c>
      <c r="G23" s="48">
        <f t="shared" si="7"/>
        <v>231867.759816</v>
      </c>
      <c r="H23" s="48">
        <f t="shared" si="7"/>
        <v>294366.731904</v>
      </c>
      <c r="I23" s="48">
        <f t="shared" si="7"/>
        <v>401236.547544</v>
      </c>
      <c r="J23" s="48">
        <f t="shared" si="7"/>
        <v>508106.363184</v>
      </c>
      <c r="K23" s="48">
        <f t="shared" si="7"/>
        <v>614976.178824</v>
      </c>
      <c r="L23" s="48">
        <f t="shared" si="7"/>
        <v>721845.994464</v>
      </c>
      <c r="M23" s="48">
        <f t="shared" si="7"/>
        <v>828715.810104</v>
      </c>
      <c r="N23" s="48">
        <f t="shared" si="7"/>
        <v>935585.625744</v>
      </c>
      <c r="O23" s="48">
        <f t="shared" si="7"/>
        <v>1095890.349204</v>
      </c>
      <c r="P23" s="48">
        <f t="shared" si="7"/>
        <v>1256195.072664</v>
      </c>
      <c r="Q23" s="48">
        <f t="shared" si="7"/>
        <v>1416499.796124</v>
      </c>
      <c r="R23" s="48">
        <f t="shared" si="7"/>
        <v>1576804.519584</v>
      </c>
      <c r="S23" s="48">
        <f t="shared" si="7"/>
        <v>1737109.243044</v>
      </c>
      <c r="T23" s="48">
        <f t="shared" si="7"/>
        <v>1897413.966504</v>
      </c>
      <c r="U23" s="48">
        <f t="shared" si="7"/>
        <v>2111153.597784</v>
      </c>
      <c r="V23" s="48">
        <f t="shared" si="7"/>
        <v>2324893.229064</v>
      </c>
      <c r="W23" s="48">
        <f t="shared" si="7"/>
        <v>2538632.860344</v>
      </c>
      <c r="X23" s="48">
        <f t="shared" si="7"/>
        <v>2752372.491624</v>
      </c>
      <c r="Y23" s="48">
        <f t="shared" si="7"/>
        <v>2966112.122904</v>
      </c>
      <c r="Z23" s="48">
        <f t="shared" si="7"/>
        <v>3179851.754184</v>
      </c>
      <c r="AD23" s="180"/>
    </row>
    <row r="24" ht="15" customHeight="1">
      <c r="A24" s="96" t="s">
        <v>482</v>
      </c>
      <c r="B24" s="48">
        <v>0</v>
      </c>
      <c r="C24" s="48">
        <f t="shared" si="8" ref="C24:Z25">B24+C11</f>
        <v>1195</v>
      </c>
      <c r="D24" s="48">
        <f t="shared" si="8"/>
        <v>2390</v>
      </c>
      <c r="E24" s="48">
        <f t="shared" si="8"/>
        <v>3585</v>
      </c>
      <c r="F24" s="48">
        <f t="shared" si="8"/>
        <v>5244.5</v>
      </c>
      <c r="G24" s="48">
        <f t="shared" si="8"/>
        <v>6904</v>
      </c>
      <c r="H24" s="48">
        <f t="shared" si="8"/>
        <v>8563.5</v>
      </c>
      <c r="I24" s="48">
        <f t="shared" si="8"/>
        <v>11130.5</v>
      </c>
      <c r="J24" s="48">
        <f t="shared" si="8"/>
        <v>13697.5</v>
      </c>
      <c r="K24" s="48">
        <f t="shared" si="8"/>
        <v>16264.5</v>
      </c>
      <c r="L24" s="48">
        <f t="shared" si="8"/>
        <v>18831.5</v>
      </c>
      <c r="M24" s="48">
        <f t="shared" si="8"/>
        <v>21398.5</v>
      </c>
      <c r="N24" s="48">
        <f t="shared" si="8"/>
        <v>23965.5</v>
      </c>
      <c r="O24" s="48">
        <f t="shared" si="8"/>
        <v>27411.5</v>
      </c>
      <c r="P24" s="48">
        <f t="shared" si="8"/>
        <v>30857.5</v>
      </c>
      <c r="Q24" s="48">
        <f t="shared" si="8"/>
        <v>34303.5</v>
      </c>
      <c r="R24" s="48">
        <f t="shared" si="8"/>
        <v>37749.5</v>
      </c>
      <c r="S24" s="48">
        <f t="shared" si="8"/>
        <v>41195.5</v>
      </c>
      <c r="T24" s="48">
        <f t="shared" si="8"/>
        <v>44641.5</v>
      </c>
      <c r="U24" s="48">
        <f t="shared" si="8"/>
        <v>49516.5</v>
      </c>
      <c r="V24" s="48">
        <f t="shared" si="8"/>
        <v>54391.5</v>
      </c>
      <c r="W24" s="48">
        <f t="shared" si="8"/>
        <v>59266.5</v>
      </c>
      <c r="X24" s="48">
        <f t="shared" si="8"/>
        <v>64141.5</v>
      </c>
      <c r="Y24" s="48">
        <f t="shared" si="8"/>
        <v>69016.5</v>
      </c>
      <c r="Z24" s="48">
        <f t="shared" si="8"/>
        <v>73891.5</v>
      </c>
      <c r="AD24" s="180"/>
    </row>
    <row r="25" ht="15" customHeight="1">
      <c r="A25" s="96" t="s">
        <v>483</v>
      </c>
      <c r="B25" s="48">
        <v>0</v>
      </c>
      <c r="C25" s="48">
        <f t="shared" si="8"/>
        <v>22262.327188</v>
      </c>
      <c r="D25" s="48">
        <f t="shared" si="8"/>
        <v>44524.654376</v>
      </c>
      <c r="E25" s="48">
        <f t="shared" si="8"/>
        <v>68136.981564</v>
      </c>
      <c r="F25" s="48">
        <f t="shared" si="8"/>
        <v>95786.8787728</v>
      </c>
      <c r="G25" s="48">
        <f t="shared" si="8"/>
        <v>123436.7759816</v>
      </c>
      <c r="H25" s="48">
        <f t="shared" si="8"/>
        <v>152166.6731904</v>
      </c>
      <c r="I25" s="48">
        <f t="shared" si="8"/>
        <v>185333.6547544</v>
      </c>
      <c r="J25" s="48">
        <f t="shared" si="8"/>
        <v>218500.6363184</v>
      </c>
      <c r="K25" s="48">
        <f t="shared" si="8"/>
        <v>251667.6178824</v>
      </c>
      <c r="L25" s="48">
        <f t="shared" si="8"/>
        <v>284834.5994464</v>
      </c>
      <c r="M25" s="48">
        <f t="shared" si="8"/>
        <v>318001.5810104</v>
      </c>
      <c r="N25" s="48">
        <f t="shared" si="8"/>
        <v>351168.5625744</v>
      </c>
      <c r="O25" s="48">
        <f t="shared" si="8"/>
        <v>389679.0349204</v>
      </c>
      <c r="P25" s="48">
        <f t="shared" si="8"/>
        <v>428189.5072664</v>
      </c>
      <c r="Q25" s="48">
        <f t="shared" si="8"/>
        <v>466699.9796124</v>
      </c>
      <c r="R25" s="48">
        <f t="shared" si="8"/>
        <v>505210.4519584</v>
      </c>
      <c r="S25" s="48">
        <f t="shared" si="8"/>
        <v>543720.9243044</v>
      </c>
      <c r="T25" s="48">
        <f t="shared" si="8"/>
        <v>582231.3966504</v>
      </c>
      <c r="U25" s="48">
        <f t="shared" si="8"/>
        <v>626085.3597784</v>
      </c>
      <c r="V25" s="48">
        <f t="shared" si="8"/>
        <v>669939.3229064</v>
      </c>
      <c r="W25" s="48">
        <f t="shared" si="8"/>
        <v>713793.2860344</v>
      </c>
      <c r="X25" s="48">
        <f t="shared" si="8"/>
        <v>757647.2491624</v>
      </c>
      <c r="Y25" s="48">
        <f t="shared" si="8"/>
        <v>801501.2122904</v>
      </c>
      <c r="Z25" s="48">
        <f t="shared" si="8"/>
        <v>845355.1754184</v>
      </c>
      <c r="AD25" s="180"/>
    </row>
    <row r="26" ht="15" customHeight="1">
      <c r="A26" s="96" t="s">
        <v>484</v>
      </c>
      <c r="B26" s="48">
        <v>0</v>
      </c>
      <c r="C26" s="48">
        <f t="shared" si="9" ref="C26:Z26">B26+C14</f>
        <v>12165.944692</v>
      </c>
      <c r="D26" s="48">
        <f t="shared" si="9"/>
        <v>24331.889384</v>
      </c>
      <c r="E26" s="48">
        <f t="shared" si="9"/>
        <v>35147.834076</v>
      </c>
      <c r="F26" s="48">
        <f t="shared" si="9"/>
        <v>68337.4089552</v>
      </c>
      <c r="G26" s="48">
        <f t="shared" si="9"/>
        <v>101526.9838344</v>
      </c>
      <c r="H26" s="48">
        <f t="shared" si="9"/>
        <v>133636.5587136</v>
      </c>
      <c r="I26" s="48">
        <f t="shared" si="9"/>
        <v>204772.3927896</v>
      </c>
      <c r="J26" s="48">
        <f t="shared" si="9"/>
        <v>275908.2268656</v>
      </c>
      <c r="K26" s="48">
        <f t="shared" si="9"/>
        <v>347044.0609416</v>
      </c>
      <c r="L26" s="48">
        <f t="shared" si="9"/>
        <v>418179.8950176</v>
      </c>
      <c r="M26" s="48">
        <f t="shared" si="9"/>
        <v>489315.7290936</v>
      </c>
      <c r="N26" s="48">
        <f t="shared" si="9"/>
        <v>560451.5631696</v>
      </c>
      <c r="O26" s="48">
        <f t="shared" si="9"/>
        <v>678799.8142836</v>
      </c>
      <c r="P26" s="48">
        <f t="shared" si="9"/>
        <v>797148.0653976</v>
      </c>
      <c r="Q26" s="48">
        <f t="shared" si="9"/>
        <v>915496.3165116</v>
      </c>
      <c r="R26" s="48">
        <f t="shared" si="9"/>
        <v>1033844.5676256</v>
      </c>
      <c r="S26" s="48">
        <f t="shared" si="9"/>
        <v>1152192.8187396</v>
      </c>
      <c r="T26" s="48">
        <f t="shared" si="9"/>
        <v>1270541.0698536</v>
      </c>
      <c r="U26" s="48">
        <f t="shared" si="9"/>
        <v>1435551.7380056</v>
      </c>
      <c r="V26" s="48">
        <f t="shared" si="9"/>
        <v>1600562.4061576</v>
      </c>
      <c r="W26" s="48">
        <f t="shared" si="9"/>
        <v>1765573.0743096</v>
      </c>
      <c r="X26" s="48">
        <f t="shared" si="9"/>
        <v>1930583.7424616</v>
      </c>
      <c r="Y26" s="48">
        <f t="shared" si="9"/>
        <v>2095594.4106136</v>
      </c>
      <c r="Z26" s="48">
        <f t="shared" si="9"/>
        <v>2260605.0787656</v>
      </c>
      <c r="AD26" s="180"/>
    </row>
    <row r="27" ht="15" customHeight="1">
      <c r="AD27" s="180"/>
    </row>
    <row r="28" ht="16.5" customHeight="1">
      <c r="A28" s="177" t="s">
        <v>485</v>
      </c>
      <c r="AD28" s="180"/>
    </row>
    <row r="29" ht="15" customHeight="1">
      <c r="A29" s="96" t="s">
        <v>463</v>
      </c>
      <c r="B29" s="113">
        <f>MIN(B17:Z18)</f>
        <v>100</v>
      </c>
      <c r="AD29" s="180"/>
    </row>
    <row r="30" ht="15" customHeight="1">
      <c r="A30" s="96" t="s">
        <v>486</v>
      </c>
      <c r="B30" s="15" t="e">
        <f>INDEX($B$4:$Z$4,MATCH(B29,B18:Z18,0))</f>
        <v>#N/A</v>
      </c>
      <c r="AD30" s="180"/>
    </row>
    <row r="31" ht="15" customHeight="1">
      <c r="A31" s="96" t="s">
        <v>475</v>
      </c>
      <c r="B31" s="15" t="str">
        <f>_xlfn.IFERROR(MATCH(TRUE,C14:Z14&gt;0,0),"N/A")</f>
        <v>N/A</v>
      </c>
      <c r="AD31" s="180"/>
    </row>
    <row r="32" ht="15" customHeight="1">
      <c r="A32" s="96" t="s">
        <v>487</v>
      </c>
      <c r="B32" s="16">
        <f>Z18</f>
        <v>3260705.0787656</v>
      </c>
      <c r="AD32" s="180"/>
    </row>
  </sheetData>
  <mergeCells>
    <mergeCell ref="A1:AA1"/>
    <mergeCell ref="A2:AA2"/>
    <mergeCell ref="A5:AA5"/>
    <mergeCell ref="A10:AA10"/>
    <mergeCell ref="A16:AA16"/>
    <mergeCell ref="A22:AA22"/>
    <mergeCell ref="A28:AA28"/>
    <mergeCell ref="AC4:AD4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2DA3EA8-1C78-B007-FD28-FA58EFA8AC18}" mc:Ignorable="x14ac xr xr2 xr3">
  <dimension ref="A1:GR1000"/>
  <sheetViews>
    <sheetView workbookViewId="0">
      <pane xSplit="1" ySplit="5" topLeftCell="R6" activePane="bottomRight" state="frozen"/>
      <selection pane="bottomLeft" activeCell="A6" sqref="A6"/>
      <selection pane="topRight" activeCell="B1" sqref="B1"/>
      <selection pane="bottomRight" activeCell="A1" sqref="A1:Z1"/>
    </sheetView>
  </sheetViews>
  <sheetFormatPr defaultRowHeight="15" defaultColWidth="8.8515625" customHeight="1"/>
  <cols>
    <col min="1" max="1" width="42.8515625" customWidth="1"/>
    <col min="2" max="25" width="12.140625" customWidth="1"/>
    <col min="26" max="26" width="18.57421875" customWidth="1"/>
    <col min="27" max="27" width="35.7109375" customWidth="1"/>
    <col min="28" max="28" width="17.140625" customWidth="1"/>
  </cols>
  <sheetData>
    <row r="1" ht="18.75" customHeight="1">
      <c r="A1" s="50" t="s">
        <v>488</v>
      </c>
    </row>
    <row r="2" ht="15.75" customHeight="1">
      <c r="A2" s="51" t="s">
        <v>489</v>
      </c>
    </row>
    <row r="4" ht="15.75" customHeight="1">
      <c r="A4" s="181" t="s">
        <v>269</v>
      </c>
      <c r="B4" s="181" t="s">
        <v>270</v>
      </c>
      <c r="C4" s="181" t="s">
        <v>271</v>
      </c>
      <c r="D4" s="181" t="s">
        <v>272</v>
      </c>
      <c r="E4" s="181" t="s">
        <v>15</v>
      </c>
      <c r="F4" s="181" t="s">
        <v>273</v>
      </c>
      <c r="G4" s="181" t="s">
        <v>274</v>
      </c>
      <c r="H4" s="181" t="s">
        <v>275</v>
      </c>
      <c r="I4" s="181" t="s">
        <v>276</v>
      </c>
      <c r="J4" s="181" t="s">
        <v>277</v>
      </c>
      <c r="K4" s="181" t="s">
        <v>278</v>
      </c>
      <c r="L4" s="181" t="s">
        <v>279</v>
      </c>
      <c r="M4" s="181" t="s">
        <v>280</v>
      </c>
      <c r="N4" s="181" t="s">
        <v>281</v>
      </c>
      <c r="O4" s="181" t="s">
        <v>282</v>
      </c>
      <c r="P4" s="181" t="s">
        <v>283</v>
      </c>
      <c r="Q4" s="181" t="s">
        <v>284</v>
      </c>
      <c r="R4" s="181" t="s">
        <v>285</v>
      </c>
      <c r="S4" s="181" t="s">
        <v>286</v>
      </c>
      <c r="T4" s="181" t="s">
        <v>287</v>
      </c>
      <c r="U4" s="181" t="s">
        <v>288</v>
      </c>
      <c r="V4" s="181" t="s">
        <v>289</v>
      </c>
      <c r="W4" s="181" t="s">
        <v>290</v>
      </c>
      <c r="X4" s="181" t="s">
        <v>291</v>
      </c>
      <c r="Y4" s="181" t="s">
        <v>292</v>
      </c>
      <c r="Z4" s="182" t="s">
        <v>490</v>
      </c>
      <c r="AA4" s="183"/>
    </row>
    <row r="5" ht="16.5" customHeight="1">
      <c r="A5" s="184" t="s">
        <v>491</v>
      </c>
      <c r="Z5" s="185"/>
      <c r="AA5" s="186"/>
      <c r="AB5" s="48">
        <f>AVERAGE(B18:Y18)</f>
        <v>430.188785068884</v>
      </c>
    </row>
    <row r="6" ht="15" customHeight="1">
      <c r="A6" s="187" t="s">
        <v>492</v>
      </c>
      <c r="B6" s="48">
        <f>'Opex &amp; Headcount'!B24</f>
        <v>3562.327188</v>
      </c>
      <c r="C6" s="48">
        <f>'Opex &amp; Headcount'!C24</f>
        <v>3562.327188</v>
      </c>
      <c r="D6" s="48">
        <f>'Opex &amp; Headcount'!D24</f>
        <v>3562.327188</v>
      </c>
      <c r="E6" s="48">
        <f>'Opex &amp; Headcount'!E24</f>
        <v>6249.8972088</v>
      </c>
      <c r="F6" s="48">
        <f>'Opex &amp; Headcount'!F24</f>
        <v>6249.8972088</v>
      </c>
      <c r="G6" s="48">
        <f>'Opex &amp; Headcount'!G24</f>
        <v>6249.8972088</v>
      </c>
      <c r="H6" s="48">
        <f>'Opex &amp; Headcount'!H24</f>
        <v>10686.981564</v>
      </c>
      <c r="I6" s="48">
        <f>'Opex &amp; Headcount'!I24</f>
        <v>10686.981564</v>
      </c>
      <c r="J6" s="48">
        <f>'Opex &amp; Headcount'!J24</f>
        <v>10686.981564</v>
      </c>
      <c r="K6" s="48">
        <f>'Opex &amp; Headcount'!K24</f>
        <v>10686.981564</v>
      </c>
      <c r="L6" s="48">
        <f>'Opex &amp; Headcount'!L24</f>
        <v>10686.981564</v>
      </c>
      <c r="M6" s="48">
        <f>'Opex &amp; Headcount'!M24</f>
        <v>10686.981564</v>
      </c>
      <c r="N6" s="48">
        <f>'Opex &amp; Headcount'!N24</f>
        <v>16030.472346</v>
      </c>
      <c r="O6" s="48">
        <f>'Opex &amp; Headcount'!O24</f>
        <v>16030.472346</v>
      </c>
      <c r="P6" s="48">
        <f>'Opex &amp; Headcount'!P24</f>
        <v>16030.472346</v>
      </c>
      <c r="Q6" s="48">
        <f>'Opex &amp; Headcount'!Q24</f>
        <v>16030.472346</v>
      </c>
      <c r="R6" s="48">
        <f>'Opex &amp; Headcount'!R24</f>
        <v>16030.472346</v>
      </c>
      <c r="S6" s="48">
        <f>'Opex &amp; Headcount'!S24</f>
        <v>16030.472346</v>
      </c>
      <c r="T6" s="48">
        <f>'Opex &amp; Headcount'!T24</f>
        <v>21373.963128</v>
      </c>
      <c r="U6" s="48">
        <f>'Opex &amp; Headcount'!U24</f>
        <v>21373.963128</v>
      </c>
      <c r="V6" s="48">
        <f>'Opex &amp; Headcount'!V24</f>
        <v>21373.963128</v>
      </c>
      <c r="W6" s="48">
        <f>'Opex &amp; Headcount'!W24</f>
        <v>21373.963128</v>
      </c>
      <c r="X6" s="48">
        <f>'Opex &amp; Headcount'!X24</f>
        <v>21373.963128</v>
      </c>
      <c r="Y6" s="48">
        <f>'Opex &amp; Headcount'!Y24</f>
        <v>21373.963128</v>
      </c>
      <c r="Z6" s="188">
        <f t="shared" si="1" ref="Z6:Z46">AVERAGE(B6:Y6)</f>
        <v>13249.3823091</v>
      </c>
      <c r="AA6" s="186"/>
      <c r="AB6" s="48">
        <f>AVERAGE(B10:Y10)</f>
        <v>3.14237876428571</v>
      </c>
    </row>
    <row r="7" ht="15" customHeight="1">
      <c r="A7" s="187" t="s">
        <v>493</v>
      </c>
      <c r="B7" s="40">
        <f>'Accounts &amp; Traffic'!B36</f>
        <v>1134</v>
      </c>
      <c r="C7" s="40">
        <f>'Accounts &amp; Traffic'!C36</f>
        <v>1134</v>
      </c>
      <c r="D7" s="40">
        <f>'Accounts &amp; Traffic'!D36</f>
        <v>1134</v>
      </c>
      <c r="E7" s="40">
        <f>'Accounts &amp; Traffic'!E36</f>
        <v>1984.5</v>
      </c>
      <c r="F7" s="40">
        <f>'Accounts &amp; Traffic'!F36</f>
        <v>1984.5</v>
      </c>
      <c r="G7" s="40">
        <f>'Accounts &amp; Traffic'!G36</f>
        <v>1984.5</v>
      </c>
      <c r="H7" s="40">
        <f>'Accounts &amp; Traffic'!H36</f>
        <v>3402</v>
      </c>
      <c r="I7" s="40">
        <f>'Accounts &amp; Traffic'!I36</f>
        <v>3402</v>
      </c>
      <c r="J7" s="40">
        <f>'Accounts &amp; Traffic'!J36</f>
        <v>3402</v>
      </c>
      <c r="K7" s="40">
        <f>'Accounts &amp; Traffic'!K36</f>
        <v>3402</v>
      </c>
      <c r="L7" s="40">
        <f>'Accounts &amp; Traffic'!L36</f>
        <v>3402</v>
      </c>
      <c r="M7" s="40">
        <f>'Accounts &amp; Traffic'!M36</f>
        <v>3402</v>
      </c>
      <c r="N7" s="40">
        <f>'Accounts &amp; Traffic'!N36</f>
        <v>5103</v>
      </c>
      <c r="O7" s="40">
        <f>'Accounts &amp; Traffic'!O36</f>
        <v>5103</v>
      </c>
      <c r="P7" s="40">
        <f>'Accounts &amp; Traffic'!P36</f>
        <v>5103</v>
      </c>
      <c r="Q7" s="40">
        <f>'Accounts &amp; Traffic'!Q36</f>
        <v>5103</v>
      </c>
      <c r="R7" s="40">
        <f>'Accounts &amp; Traffic'!R36</f>
        <v>5103</v>
      </c>
      <c r="S7" s="40">
        <f>'Accounts &amp; Traffic'!S36</f>
        <v>5103</v>
      </c>
      <c r="T7" s="40">
        <f>'Accounts &amp; Traffic'!T36</f>
        <v>6804</v>
      </c>
      <c r="U7" s="40">
        <f>'Accounts &amp; Traffic'!U36</f>
        <v>6804</v>
      </c>
      <c r="V7" s="40">
        <f>'Accounts &amp; Traffic'!V36</f>
        <v>6804</v>
      </c>
      <c r="W7" s="40">
        <f>'Accounts &amp; Traffic'!W36</f>
        <v>6804</v>
      </c>
      <c r="X7" s="40">
        <f>'Accounts &amp; Traffic'!X36</f>
        <v>6804</v>
      </c>
      <c r="Y7" s="40">
        <f>'Accounts &amp; Traffic'!Y36</f>
        <v>6804</v>
      </c>
      <c r="Z7" s="188">
        <f>SUM(B7:Y7)</f>
        <v>101209.5</v>
      </c>
      <c r="AA7" s="186"/>
      <c r="AB7" s="48">
        <f>AVERAGE(B21:Y21)</f>
        <v>136.899174607358</v>
      </c>
    </row>
    <row r="8" ht="15" customHeight="1">
      <c r="A8" s="187" t="s">
        <v>494</v>
      </c>
      <c r="B8" s="113">
        <f t="shared" si="0" ref="B8:Y8">IF(B7=0,0,B6/B7)</f>
        <v>3.141382</v>
      </c>
      <c r="C8" s="113">
        <f t="shared" si="0"/>
        <v>3.141382</v>
      </c>
      <c r="D8" s="113">
        <f t="shared" si="0"/>
        <v>3.141382</v>
      </c>
      <c r="E8" s="114">
        <f t="shared" si="0"/>
        <v>3.14935611428571</v>
      </c>
      <c r="F8" s="114">
        <f t="shared" si="0"/>
        <v>3.14935611428571</v>
      </c>
      <c r="G8" s="114">
        <f t="shared" si="0"/>
        <v>3.14935611428571</v>
      </c>
      <c r="H8" s="113">
        <f t="shared" si="0"/>
        <v>3.141382</v>
      </c>
      <c r="I8" s="113">
        <f t="shared" si="0"/>
        <v>3.141382</v>
      </c>
      <c r="J8" s="113">
        <f t="shared" si="0"/>
        <v>3.141382</v>
      </c>
      <c r="K8" s="113">
        <f t="shared" si="0"/>
        <v>3.141382</v>
      </c>
      <c r="L8" s="113">
        <f t="shared" si="0"/>
        <v>3.141382</v>
      </c>
      <c r="M8" s="113">
        <f t="shared" si="0"/>
        <v>3.141382</v>
      </c>
      <c r="N8" s="113">
        <f t="shared" si="0"/>
        <v>3.141382</v>
      </c>
      <c r="O8" s="113">
        <f t="shared" si="0"/>
        <v>3.141382</v>
      </c>
      <c r="P8" s="113">
        <f t="shared" si="0"/>
        <v>3.141382</v>
      </c>
      <c r="Q8" s="113">
        <f t="shared" si="0"/>
        <v>3.141382</v>
      </c>
      <c r="R8" s="113">
        <f t="shared" si="0"/>
        <v>3.141382</v>
      </c>
      <c r="S8" s="113">
        <f t="shared" si="0"/>
        <v>3.141382</v>
      </c>
      <c r="T8" s="113">
        <f t="shared" si="0"/>
        <v>3.141382</v>
      </c>
      <c r="U8" s="113">
        <f t="shared" si="0"/>
        <v>3.141382</v>
      </c>
      <c r="V8" s="113">
        <f t="shared" si="0"/>
        <v>3.141382</v>
      </c>
      <c r="W8" s="113">
        <f t="shared" si="0"/>
        <v>3.141382</v>
      </c>
      <c r="X8" s="113">
        <f t="shared" si="0"/>
        <v>3.141382</v>
      </c>
      <c r="Y8" s="113">
        <f t="shared" si="0"/>
        <v>3.141382</v>
      </c>
      <c r="Z8" s="188">
        <f t="shared" si="1"/>
        <v>3.14237876428571</v>
      </c>
      <c r="AA8" s="186"/>
      <c r="AB8" s="180" t="e">
        <f>AVERAGE(B30:Y30)</f>
        <v>#DIV/0!</v>
      </c>
    </row>
    <row r="9" ht="15" customHeight="1">
      <c r="A9" s="187" t="s">
        <v>495</v>
      </c>
      <c r="B9" s="113">
        <f>Assumptions!$B$95</f>
        <v>5</v>
      </c>
      <c r="C9" s="113">
        <f>Assumptions!$B$95</f>
        <v>5</v>
      </c>
      <c r="D9" s="113">
        <f>Assumptions!$B$95</f>
        <v>5</v>
      </c>
      <c r="E9" s="113">
        <f>Assumptions!$B$95</f>
        <v>5</v>
      </c>
      <c r="F9" s="113">
        <f>Assumptions!$B$95</f>
        <v>5</v>
      </c>
      <c r="G9" s="113">
        <f>Assumptions!$B$95</f>
        <v>5</v>
      </c>
      <c r="H9" s="113">
        <f>Assumptions!$B$95</f>
        <v>5</v>
      </c>
      <c r="I9" s="113">
        <f>Assumptions!$B$95</f>
        <v>5</v>
      </c>
      <c r="J9" s="113">
        <f>Assumptions!$B$95</f>
        <v>5</v>
      </c>
      <c r="K9" s="113">
        <f>Assumptions!$B$95</f>
        <v>5</v>
      </c>
      <c r="L9" s="113">
        <f>Assumptions!$B$95</f>
        <v>5</v>
      </c>
      <c r="M9" s="113">
        <f>Assumptions!$B$95</f>
        <v>5</v>
      </c>
      <c r="N9" s="113">
        <f>Assumptions!$B$95</f>
        <v>5</v>
      </c>
      <c r="O9" s="113">
        <f>Assumptions!$B$95</f>
        <v>5</v>
      </c>
      <c r="P9" s="113">
        <f>Assumptions!$B$95</f>
        <v>5</v>
      </c>
      <c r="Q9" s="113">
        <f>Assumptions!$B$95</f>
        <v>5</v>
      </c>
      <c r="R9" s="113">
        <f>Assumptions!$B$95</f>
        <v>5</v>
      </c>
      <c r="S9" s="113">
        <f>Assumptions!$B$95</f>
        <v>5</v>
      </c>
      <c r="T9" s="113">
        <f>Assumptions!$B$95</f>
        <v>5</v>
      </c>
      <c r="U9" s="113">
        <f>Assumptions!$B$95</f>
        <v>5</v>
      </c>
      <c r="V9" s="113">
        <f>Assumptions!$B$95</f>
        <v>5</v>
      </c>
      <c r="W9" s="113">
        <f>Assumptions!$B$95</f>
        <v>5</v>
      </c>
      <c r="X9" s="113">
        <f>Assumptions!$B$95</f>
        <v>5</v>
      </c>
      <c r="Y9" s="113">
        <f>Assumptions!$B$95</f>
        <v>5</v>
      </c>
      <c r="Z9" s="189"/>
      <c r="AA9" s="186"/>
      <c r="AB9" s="48">
        <f>Y18</f>
        <v>430.839715090195</v>
      </c>
    </row>
    <row r="10" ht="15" customHeight="1">
      <c r="A10" s="187" t="s">
        <v>496</v>
      </c>
      <c r="B10" s="113">
        <f t="shared" si="2" ref="B10:Y18">IF(B8&gt;0,B8,B9)</f>
        <v>3.141382</v>
      </c>
      <c r="C10" s="113">
        <f t="shared" si="2"/>
        <v>3.141382</v>
      </c>
      <c r="D10" s="113">
        <f t="shared" si="2"/>
        <v>3.141382</v>
      </c>
      <c r="E10" s="114">
        <f t="shared" si="2"/>
        <v>3.14935611428571</v>
      </c>
      <c r="F10" s="114">
        <f t="shared" si="2"/>
        <v>3.14935611428571</v>
      </c>
      <c r="G10" s="114">
        <f t="shared" si="2"/>
        <v>3.14935611428571</v>
      </c>
      <c r="H10" s="113">
        <f t="shared" si="2"/>
        <v>3.141382</v>
      </c>
      <c r="I10" s="113">
        <f t="shared" si="2"/>
        <v>3.141382</v>
      </c>
      <c r="J10" s="113">
        <f t="shared" si="2"/>
        <v>3.141382</v>
      </c>
      <c r="K10" s="113">
        <f t="shared" si="2"/>
        <v>3.141382</v>
      </c>
      <c r="L10" s="113">
        <f t="shared" si="2"/>
        <v>3.141382</v>
      </c>
      <c r="M10" s="113">
        <f t="shared" si="2"/>
        <v>3.141382</v>
      </c>
      <c r="N10" s="113">
        <f t="shared" si="2"/>
        <v>3.141382</v>
      </c>
      <c r="O10" s="113">
        <f t="shared" si="2"/>
        <v>3.141382</v>
      </c>
      <c r="P10" s="113">
        <f t="shared" si="2"/>
        <v>3.141382</v>
      </c>
      <c r="Q10" s="113">
        <f t="shared" si="2"/>
        <v>3.141382</v>
      </c>
      <c r="R10" s="113">
        <f t="shared" si="2"/>
        <v>3.141382</v>
      </c>
      <c r="S10" s="113">
        <f t="shared" si="2"/>
        <v>3.141382</v>
      </c>
      <c r="T10" s="113">
        <f t="shared" si="2"/>
        <v>3.141382</v>
      </c>
      <c r="U10" s="113">
        <f t="shared" si="2"/>
        <v>3.141382</v>
      </c>
      <c r="V10" s="113">
        <f t="shared" si="2"/>
        <v>3.141382</v>
      </c>
      <c r="W10" s="113">
        <f t="shared" si="2"/>
        <v>3.141382</v>
      </c>
      <c r="X10" s="113">
        <f t="shared" si="2"/>
        <v>3.141382</v>
      </c>
      <c r="Y10" s="113">
        <f t="shared" si="2"/>
        <v>3.141382</v>
      </c>
      <c r="Z10" s="188">
        <f t="shared" si="1"/>
        <v>3.14237876428571</v>
      </c>
      <c r="AA10" s="186"/>
      <c r="AB10" s="48">
        <f>Y10</f>
        <v>3.141382</v>
      </c>
    </row>
    <row r="11" ht="15" customHeight="1">
      <c r="Z11" s="189"/>
      <c r="AA11" s="186"/>
      <c r="AB11" s="48">
        <f>Y21</f>
        <v>137.149736991615</v>
      </c>
    </row>
    <row r="12" ht="15.75" customHeight="1">
      <c r="A12" s="190" t="s">
        <v>497</v>
      </c>
      <c r="Z12" s="189"/>
      <c r="AA12" s="186"/>
      <c r="AB12" s="180">
        <f>Y30</f>
        <v>0</v>
      </c>
    </row>
    <row r="13" ht="15" customHeight="1">
      <c r="A13" s="187" t="s">
        <v>498</v>
      </c>
      <c r="B13" s="37">
        <f>IF('Accounts &amp; Traffic'!B47=0,0,'Revenue by Niche'!B88/'Accounts &amp; Traffic'!B47)</f>
        <v>22.0447859649123</v>
      </c>
      <c r="C13" s="37">
        <f>IF('Accounts &amp; Traffic'!C47=0,0,'Revenue by Niche'!C88/'Accounts &amp; Traffic'!C47)</f>
        <v>22.0447859649123</v>
      </c>
      <c r="D13" s="37">
        <f>IF('Accounts &amp; Traffic'!D47=0,0,'Revenue by Niche'!D88/'Accounts &amp; Traffic'!D47)</f>
        <v>22.0447859649123</v>
      </c>
      <c r="E13" s="37">
        <f>IF('Accounts &amp; Traffic'!E47=0,0,'Revenue by Niche'!E88/'Accounts &amp; Traffic'!E47)</f>
        <v>22.1007446616541</v>
      </c>
      <c r="F13" s="37">
        <f>IF('Accounts &amp; Traffic'!F47=0,0,'Revenue by Niche'!F88/'Accounts &amp; Traffic'!F47)</f>
        <v>22.1007446616541</v>
      </c>
      <c r="G13" s="37">
        <f>IF('Accounts &amp; Traffic'!G47=0,0,'Revenue by Niche'!G88/'Accounts &amp; Traffic'!G47)</f>
        <v>22.1007446616541</v>
      </c>
      <c r="H13" s="37">
        <f>IF('Accounts &amp; Traffic'!H47=0,0,'Revenue by Niche'!H88/'Accounts &amp; Traffic'!H47)</f>
        <v>22.0447859649123</v>
      </c>
      <c r="I13" s="37">
        <f>IF('Accounts &amp; Traffic'!I47=0,0,'Revenue by Niche'!I88/'Accounts &amp; Traffic'!I47)</f>
        <v>22.0447859649123</v>
      </c>
      <c r="J13" s="37">
        <f>IF('Accounts &amp; Traffic'!J47=0,0,'Revenue by Niche'!J88/'Accounts &amp; Traffic'!J47)</f>
        <v>22.0447859649123</v>
      </c>
      <c r="K13" s="37">
        <f>IF('Accounts &amp; Traffic'!K47=0,0,'Revenue by Niche'!K88/'Accounts &amp; Traffic'!K47)</f>
        <v>22.0447859649123</v>
      </c>
      <c r="L13" s="37">
        <f>IF('Accounts &amp; Traffic'!L47=0,0,'Revenue by Niche'!L88/'Accounts &amp; Traffic'!L47)</f>
        <v>22.0447859649123</v>
      </c>
      <c r="M13" s="37">
        <f>IF('Accounts &amp; Traffic'!M47=0,0,'Revenue by Niche'!M88/'Accounts &amp; Traffic'!M47)</f>
        <v>22.0447859649123</v>
      </c>
      <c r="N13" s="37">
        <f>IF('Accounts &amp; Traffic'!N47=0,0,'Revenue by Niche'!N88/'Accounts &amp; Traffic'!N47)</f>
        <v>22.0447859649123</v>
      </c>
      <c r="O13" s="37">
        <f>IF('Accounts &amp; Traffic'!O47=0,0,'Revenue by Niche'!O88/'Accounts &amp; Traffic'!O47)</f>
        <v>22.0447859649123</v>
      </c>
      <c r="P13" s="37">
        <f>IF('Accounts &amp; Traffic'!P47=0,0,'Revenue by Niche'!P88/'Accounts &amp; Traffic'!P47)</f>
        <v>22.0447859649123</v>
      </c>
      <c r="Q13" s="37">
        <f>IF('Accounts &amp; Traffic'!Q47=0,0,'Revenue by Niche'!Q88/'Accounts &amp; Traffic'!Q47)</f>
        <v>22.0447859649123</v>
      </c>
      <c r="R13" s="37">
        <f>IF('Accounts &amp; Traffic'!R47=0,0,'Revenue by Niche'!R88/'Accounts &amp; Traffic'!R47)</f>
        <v>22.0447859649123</v>
      </c>
      <c r="S13" s="37">
        <f>IF('Accounts &amp; Traffic'!S47=0,0,'Revenue by Niche'!S88/'Accounts &amp; Traffic'!S47)</f>
        <v>22.0447859649123</v>
      </c>
      <c r="T13" s="37">
        <f>IF('Accounts &amp; Traffic'!T47=0,0,'Revenue by Niche'!T88/'Accounts &amp; Traffic'!T47)</f>
        <v>22.0447859649123</v>
      </c>
      <c r="U13" s="37">
        <f>IF('Accounts &amp; Traffic'!U47=0,0,'Revenue by Niche'!U88/'Accounts &amp; Traffic'!U47)</f>
        <v>22.0447859649123</v>
      </c>
      <c r="V13" s="37">
        <f>IF('Accounts &amp; Traffic'!V47=0,0,'Revenue by Niche'!V88/'Accounts &amp; Traffic'!V47)</f>
        <v>22.0447859649123</v>
      </c>
      <c r="W13" s="37">
        <f>IF('Accounts &amp; Traffic'!W47=0,0,'Revenue by Niche'!W88/'Accounts &amp; Traffic'!W47)</f>
        <v>22.0447859649123</v>
      </c>
      <c r="X13" s="37">
        <f>IF('Accounts &amp; Traffic'!X47=0,0,'Revenue by Niche'!X88/'Accounts &amp; Traffic'!X47)</f>
        <v>22.0447859649123</v>
      </c>
      <c r="Y13" s="37">
        <f>IF('Accounts &amp; Traffic'!Y47=0,0,'Revenue by Niche'!Y88/'Accounts &amp; Traffic'!Y47)</f>
        <v>22.0447859649123</v>
      </c>
      <c r="Z13" s="191">
        <f t="shared" si="1"/>
        <v>22.051780802005</v>
      </c>
      <c r="AA13" s="186"/>
      <c r="AB13" s="180">
        <f>Assumptions!$B$61</f>
        <v>0</v>
      </c>
    </row>
    <row r="14" ht="15" customHeight="1">
      <c r="A14" s="187" t="s">
        <v>391</v>
      </c>
      <c r="B14" s="37">
        <f>'COGS &amp; Tech'!B33</f>
        <v>0.966454513105212</v>
      </c>
      <c r="C14" s="37">
        <f>'COGS &amp; Tech'!C33</f>
        <v>0.966454513105212</v>
      </c>
      <c r="D14" s="37">
        <f>'COGS &amp; Tech'!D33</f>
        <v>0.966454513105212</v>
      </c>
      <c r="E14" s="37">
        <f>'COGS &amp; Tech'!E33</f>
        <v>0.973447563302907</v>
      </c>
      <c r="F14" s="37">
        <f>'COGS &amp; Tech'!F33</f>
        <v>0.973447563302907</v>
      </c>
      <c r="G14" s="37">
        <f>'COGS &amp; Tech'!G33</f>
        <v>0.973447563302907</v>
      </c>
      <c r="H14" s="37">
        <f>'COGS &amp; Tech'!H33</f>
        <v>0.975980121378265</v>
      </c>
      <c r="I14" s="37">
        <f>'COGS &amp; Tech'!I33</f>
        <v>0.975980121378265</v>
      </c>
      <c r="J14" s="37">
        <f>'COGS &amp; Tech'!J33</f>
        <v>0.975980121378265</v>
      </c>
      <c r="K14" s="37">
        <f>'COGS &amp; Tech'!K33</f>
        <v>0.975980121378265</v>
      </c>
      <c r="L14" s="37">
        <f>'COGS &amp; Tech'!L33</f>
        <v>0.975980121378265</v>
      </c>
      <c r="M14" s="37">
        <f>'COGS &amp; Tech'!M33</f>
        <v>0.975980121378265</v>
      </c>
      <c r="N14" s="37">
        <f>'COGS &amp; Tech'!N33</f>
        <v>0.978503440662122</v>
      </c>
      <c r="O14" s="37">
        <f>'COGS &amp; Tech'!O33</f>
        <v>0.978503440662122</v>
      </c>
      <c r="P14" s="37">
        <f>'COGS &amp; Tech'!P33</f>
        <v>0.978503440662122</v>
      </c>
      <c r="Q14" s="37">
        <f>'COGS &amp; Tech'!Q33</f>
        <v>0.978503440662122</v>
      </c>
      <c r="R14" s="37">
        <f>'COGS &amp; Tech'!R33</f>
        <v>0.978503440662122</v>
      </c>
      <c r="S14" s="37">
        <f>'COGS &amp; Tech'!S33</f>
        <v>0.978503440662122</v>
      </c>
      <c r="T14" s="37">
        <f>'COGS &amp; Tech'!T33</f>
        <v>0.977191876065259</v>
      </c>
      <c r="U14" s="37">
        <f>'COGS &amp; Tech'!U33</f>
        <v>0.977191876065259</v>
      </c>
      <c r="V14" s="37">
        <f>'COGS &amp; Tech'!V33</f>
        <v>0.977191876065259</v>
      </c>
      <c r="W14" s="37">
        <f>'COGS &amp; Tech'!W33</f>
        <v>0.977191876065259</v>
      </c>
      <c r="X14" s="37">
        <f>'COGS &amp; Tech'!X33</f>
        <v>0.977191876065259</v>
      </c>
      <c r="Y14" s="37">
        <f>'COGS &amp; Tech'!Y33</f>
        <v>0.977191876065259</v>
      </c>
      <c r="Z14" s="191">
        <f t="shared" si="1"/>
        <v>0.975406619077427</v>
      </c>
      <c r="AA14" s="186"/>
      <c r="AB14" s="180">
        <f>Assumptions!$B$62</f>
        <v>0</v>
      </c>
    </row>
    <row r="15" ht="15" customHeight="1">
      <c r="A15" s="187" t="s">
        <v>499</v>
      </c>
      <c r="B15" s="40">
        <f>Assumptions!$B$33</f>
        <v>20</v>
      </c>
      <c r="C15" s="40">
        <f>Assumptions!$B$33</f>
        <v>20</v>
      </c>
      <c r="D15" s="40">
        <f>Assumptions!$B$33</f>
        <v>20</v>
      </c>
      <c r="E15" s="40">
        <f>Assumptions!$B$33</f>
        <v>20</v>
      </c>
      <c r="F15" s="40">
        <f>Assumptions!$B$33</f>
        <v>20</v>
      </c>
      <c r="G15" s="40">
        <f>Assumptions!$B$33</f>
        <v>20</v>
      </c>
      <c r="H15" s="40">
        <f>Assumptions!$B$33</f>
        <v>20</v>
      </c>
      <c r="I15" s="40">
        <f>Assumptions!$B$33</f>
        <v>20</v>
      </c>
      <c r="J15" s="40">
        <f>Assumptions!$B$33</f>
        <v>20</v>
      </c>
      <c r="K15" s="40">
        <f>Assumptions!$B$33</f>
        <v>20</v>
      </c>
      <c r="L15" s="40">
        <f>Assumptions!$B$33</f>
        <v>20</v>
      </c>
      <c r="M15" s="40">
        <f>Assumptions!$B$33</f>
        <v>20</v>
      </c>
      <c r="N15" s="40">
        <f>Assumptions!$B$33</f>
        <v>20</v>
      </c>
      <c r="O15" s="40">
        <f>Assumptions!$B$33</f>
        <v>20</v>
      </c>
      <c r="P15" s="40">
        <f>Assumptions!$B$33</f>
        <v>20</v>
      </c>
      <c r="Q15" s="40">
        <f>Assumptions!$B$33</f>
        <v>20</v>
      </c>
      <c r="R15" s="40">
        <f>Assumptions!$B$33</f>
        <v>20</v>
      </c>
      <c r="S15" s="40">
        <f>Assumptions!$B$33</f>
        <v>20</v>
      </c>
      <c r="T15" s="40">
        <f>Assumptions!$B$33</f>
        <v>20</v>
      </c>
      <c r="U15" s="40">
        <f>Assumptions!$B$33</f>
        <v>20</v>
      </c>
      <c r="V15" s="40">
        <f>Assumptions!$B$33</f>
        <v>20</v>
      </c>
      <c r="W15" s="40">
        <f>Assumptions!$B$33</f>
        <v>20</v>
      </c>
      <c r="X15" s="40">
        <f>Assumptions!$B$33</f>
        <v>20</v>
      </c>
      <c r="Y15" s="40">
        <f>Assumptions!$B$33</f>
        <v>20</v>
      </c>
      <c r="Z15" s="189"/>
      <c r="AA15" s="186"/>
      <c r="AB15" s="48">
        <f>COUNTIF(B21:Y21,"&gt;=4")</f>
        <v>24</v>
      </c>
    </row>
    <row r="16" ht="15" customHeight="1">
      <c r="A16" s="187" t="s">
        <v>500</v>
      </c>
      <c r="B16" s="37">
        <f t="shared" si="3" ref="B16:Y16">B13*B14*B15</f>
        <v>426.105657724559</v>
      </c>
      <c r="C16" s="37">
        <f t="shared" si="3"/>
        <v>426.105657724559</v>
      </c>
      <c r="D16" s="37">
        <f t="shared" si="3"/>
        <v>426.105657724559</v>
      </c>
      <c r="E16" s="37">
        <f t="shared" si="3"/>
        <v>430.278320761338</v>
      </c>
      <c r="F16" s="37">
        <f t="shared" si="3"/>
        <v>430.278320761338</v>
      </c>
      <c r="G16" s="37">
        <f t="shared" si="3"/>
        <v>430.278320761338</v>
      </c>
      <c r="H16" s="37">
        <f t="shared" si="3"/>
        <v>430.30545763586</v>
      </c>
      <c r="I16" s="37">
        <f t="shared" si="3"/>
        <v>430.30545763586</v>
      </c>
      <c r="J16" s="37">
        <f t="shared" si="3"/>
        <v>430.30545763586</v>
      </c>
      <c r="K16" s="37">
        <f t="shared" si="3"/>
        <v>430.30545763586</v>
      </c>
      <c r="L16" s="37">
        <f t="shared" si="3"/>
        <v>430.30545763586</v>
      </c>
      <c r="M16" s="37">
        <f t="shared" si="3"/>
        <v>430.30545763586</v>
      </c>
      <c r="N16" s="37">
        <f t="shared" si="3"/>
        <v>431.417978306535</v>
      </c>
      <c r="O16" s="37">
        <f t="shared" si="3"/>
        <v>431.417978306535</v>
      </c>
      <c r="P16" s="37">
        <f t="shared" si="3"/>
        <v>431.417978306535</v>
      </c>
      <c r="Q16" s="37">
        <f t="shared" si="3"/>
        <v>431.417978306535</v>
      </c>
      <c r="R16" s="37">
        <f t="shared" si="3"/>
        <v>431.417978306535</v>
      </c>
      <c r="S16" s="37">
        <f t="shared" si="3"/>
        <v>431.417978306535</v>
      </c>
      <c r="T16" s="37">
        <f t="shared" si="3"/>
        <v>430.839715090195</v>
      </c>
      <c r="U16" s="37">
        <f t="shared" si="3"/>
        <v>430.839715090195</v>
      </c>
      <c r="V16" s="37">
        <f t="shared" si="3"/>
        <v>430.839715090195</v>
      </c>
      <c r="W16" s="37">
        <f t="shared" si="3"/>
        <v>430.839715090195</v>
      </c>
      <c r="X16" s="37">
        <f t="shared" si="3"/>
        <v>430.839715090195</v>
      </c>
      <c r="Y16" s="37">
        <f t="shared" si="3"/>
        <v>430.839715090195</v>
      </c>
      <c r="Z16" s="191">
        <f t="shared" si="1"/>
        <v>430.188785068884</v>
      </c>
      <c r="AA16" s="186"/>
      <c r="AB16" s="180">
        <f>COUNTIF(B30:Y30,"&lt;=12")</f>
        <v>0</v>
      </c>
    </row>
    <row r="17" ht="15" customHeight="1">
      <c r="A17" s="187" t="s">
        <v>501</v>
      </c>
      <c r="B17" s="113">
        <f>(Assumptions!H20*0.30)+(Assumptions!H21*0.20)+(Assumptions!H22*0.15)+(Assumptions!H23*0.15)+(Assumptions!H24*0.10)+(Assumptions!H25*0.10)</f>
        <v>202</v>
      </c>
      <c r="C17" s="37">
        <f>AVERAGE(Assumptions!$G$19:Assumptions!$G$25)</f>
        <v>164.285714285714</v>
      </c>
      <c r="D17" s="37">
        <f>AVERAGE(Assumptions!$G$19:Assumptions!$G$25)</f>
        <v>164.285714285714</v>
      </c>
      <c r="E17" s="37">
        <f>AVERAGE(Assumptions!$G$19:Assumptions!$G$25)</f>
        <v>164.285714285714</v>
      </c>
      <c r="F17" s="37">
        <f>AVERAGE(Assumptions!$G$19:Assumptions!$G$25)</f>
        <v>164.285714285714</v>
      </c>
      <c r="G17" s="37">
        <f>AVERAGE(Assumptions!$G$19:Assumptions!$G$25)</f>
        <v>164.285714285714</v>
      </c>
      <c r="H17" s="37">
        <f>AVERAGE(Assumptions!$G$19:Assumptions!$G$25)</f>
        <v>164.285714285714</v>
      </c>
      <c r="I17" s="37">
        <f>AVERAGE(Assumptions!$G$19:Assumptions!$G$25)</f>
        <v>164.285714285714</v>
      </c>
      <c r="J17" s="37">
        <f>AVERAGE(Assumptions!$G$19:Assumptions!$G$25)</f>
        <v>164.285714285714</v>
      </c>
      <c r="K17" s="37">
        <f>AVERAGE(Assumptions!$G$19:Assumptions!$G$25)</f>
        <v>164.285714285714</v>
      </c>
      <c r="L17" s="37">
        <f>AVERAGE(Assumptions!$G$19:Assumptions!$G$25)</f>
        <v>164.285714285714</v>
      </c>
      <c r="M17" s="37">
        <f>AVERAGE(Assumptions!$G$19:Assumptions!$G$25)</f>
        <v>164.285714285714</v>
      </c>
      <c r="N17" s="37">
        <f>AVERAGE(Assumptions!$G$19:Assumptions!$G$25)</f>
        <v>164.285714285714</v>
      </c>
      <c r="O17" s="37">
        <f>AVERAGE(Assumptions!$G$19:Assumptions!$G$25)</f>
        <v>164.285714285714</v>
      </c>
      <c r="P17" s="37">
        <f>AVERAGE(Assumptions!$G$19:Assumptions!$G$25)</f>
        <v>164.285714285714</v>
      </c>
      <c r="Q17" s="37">
        <f>AVERAGE(Assumptions!$G$19:Assumptions!$G$25)</f>
        <v>164.285714285714</v>
      </c>
      <c r="R17" s="37">
        <f>AVERAGE(Assumptions!$G$19:Assumptions!$G$25)</f>
        <v>164.285714285714</v>
      </c>
      <c r="S17" s="37">
        <f>AVERAGE(Assumptions!$G$19:Assumptions!$G$25)</f>
        <v>164.285714285714</v>
      </c>
      <c r="T17" s="37">
        <f>AVERAGE(Assumptions!$G$19:Assumptions!$G$25)</f>
        <v>164.285714285714</v>
      </c>
      <c r="U17" s="37">
        <f>AVERAGE(Assumptions!$G$19:Assumptions!$G$25)</f>
        <v>164.285714285714</v>
      </c>
      <c r="V17" s="37">
        <f>AVERAGE(Assumptions!$G$19:Assumptions!$G$25)</f>
        <v>164.285714285714</v>
      </c>
      <c r="W17" s="37">
        <f>AVERAGE(Assumptions!$G$19:Assumptions!$G$25)</f>
        <v>164.285714285714</v>
      </c>
      <c r="X17" s="37">
        <f>AVERAGE(Assumptions!$G$19:Assumptions!$G$25)</f>
        <v>164.285714285714</v>
      </c>
      <c r="Y17" s="37">
        <f>AVERAGE(Assumptions!$G$19:Assumptions!$G$25)</f>
        <v>164.285714285714</v>
      </c>
      <c r="Z17" s="189"/>
      <c r="AB17" s="180"/>
    </row>
    <row r="18" ht="15" customHeight="1">
      <c r="A18" s="187" t="s">
        <v>502</v>
      </c>
      <c r="B18" s="37">
        <f t="shared" si="2"/>
        <v>426.105657724559</v>
      </c>
      <c r="C18" s="37">
        <f t="shared" si="2"/>
        <v>426.105657724559</v>
      </c>
      <c r="D18" s="37">
        <f t="shared" si="2"/>
        <v>426.105657724559</v>
      </c>
      <c r="E18" s="37">
        <f t="shared" si="2"/>
        <v>430.278320761338</v>
      </c>
      <c r="F18" s="37">
        <f t="shared" si="2"/>
        <v>430.278320761338</v>
      </c>
      <c r="G18" s="37">
        <f t="shared" si="2"/>
        <v>430.278320761338</v>
      </c>
      <c r="H18" s="37">
        <f t="shared" si="2"/>
        <v>430.30545763586</v>
      </c>
      <c r="I18" s="37">
        <f t="shared" si="2"/>
        <v>430.30545763586</v>
      </c>
      <c r="J18" s="37">
        <f t="shared" si="2"/>
        <v>430.30545763586</v>
      </c>
      <c r="K18" s="37">
        <f t="shared" si="2"/>
        <v>430.30545763586</v>
      </c>
      <c r="L18" s="37">
        <f t="shared" si="2"/>
        <v>430.30545763586</v>
      </c>
      <c r="M18" s="37">
        <f t="shared" si="2"/>
        <v>430.30545763586</v>
      </c>
      <c r="N18" s="37">
        <f t="shared" si="2"/>
        <v>431.417978306535</v>
      </c>
      <c r="O18" s="37">
        <f t="shared" si="2"/>
        <v>431.417978306535</v>
      </c>
      <c r="P18" s="37">
        <f t="shared" si="2"/>
        <v>431.417978306535</v>
      </c>
      <c r="Q18" s="37">
        <f t="shared" si="2"/>
        <v>431.417978306535</v>
      </c>
      <c r="R18" s="37">
        <f t="shared" si="2"/>
        <v>431.417978306535</v>
      </c>
      <c r="S18" s="37">
        <f t="shared" si="2"/>
        <v>431.417978306535</v>
      </c>
      <c r="T18" s="37">
        <f t="shared" si="2"/>
        <v>430.839715090195</v>
      </c>
      <c r="U18" s="37">
        <f t="shared" si="2"/>
        <v>430.839715090195</v>
      </c>
      <c r="V18" s="37">
        <f t="shared" si="2"/>
        <v>430.839715090195</v>
      </c>
      <c r="W18" s="37">
        <f t="shared" si="2"/>
        <v>430.839715090195</v>
      </c>
      <c r="X18" s="37">
        <f t="shared" si="2"/>
        <v>430.839715090195</v>
      </c>
      <c r="Y18" s="37">
        <f t="shared" si="2"/>
        <v>430.839715090195</v>
      </c>
      <c r="Z18" s="191">
        <f t="shared" si="1"/>
        <v>430.188785068884</v>
      </c>
      <c r="AB18" s="180"/>
    </row>
    <row r="19" ht="15" customHeight="1">
      <c r="Z19" s="189"/>
      <c r="AB19" s="180"/>
    </row>
    <row r="20" ht="15.75" customHeight="1">
      <c r="A20" s="192" t="s">
        <v>503</v>
      </c>
      <c r="Z20" s="189"/>
      <c r="AB20" s="180"/>
    </row>
    <row r="21" ht="15" customHeight="1">
      <c r="A21" s="187" t="s">
        <v>29</v>
      </c>
      <c r="B21" s="193">
        <f t="shared" si="4" ref="B21:Y21">IF(B10=0,0,B18/B10)</f>
        <v>135.642738681434</v>
      </c>
      <c r="C21" s="193">
        <f t="shared" si="4"/>
        <v>135.642738681434</v>
      </c>
      <c r="D21" s="193">
        <f t="shared" si="4"/>
        <v>135.642738681434</v>
      </c>
      <c r="E21" s="193">
        <f t="shared" si="4"/>
        <v>136.624219410934</v>
      </c>
      <c r="F21" s="193">
        <f t="shared" si="4"/>
        <v>136.624219410934</v>
      </c>
      <c r="G21" s="193">
        <f t="shared" si="4"/>
        <v>136.624219410934</v>
      </c>
      <c r="H21" s="193">
        <f t="shared" si="4"/>
        <v>136.979666158353</v>
      </c>
      <c r="I21" s="193">
        <f t="shared" si="4"/>
        <v>136.979666158353</v>
      </c>
      <c r="J21" s="193">
        <f t="shared" si="4"/>
        <v>136.979666158353</v>
      </c>
      <c r="K21" s="193">
        <f t="shared" si="4"/>
        <v>136.979666158353</v>
      </c>
      <c r="L21" s="193">
        <f t="shared" si="4"/>
        <v>136.979666158353</v>
      </c>
      <c r="M21" s="193">
        <f t="shared" si="4"/>
        <v>136.979666158353</v>
      </c>
      <c r="N21" s="193">
        <f t="shared" si="4"/>
        <v>137.33381623328</v>
      </c>
      <c r="O21" s="193">
        <f t="shared" si="4"/>
        <v>137.33381623328</v>
      </c>
      <c r="P21" s="193">
        <f t="shared" si="4"/>
        <v>137.33381623328</v>
      </c>
      <c r="Q21" s="193">
        <f t="shared" si="4"/>
        <v>137.33381623328</v>
      </c>
      <c r="R21" s="193">
        <f t="shared" si="4"/>
        <v>137.33381623328</v>
      </c>
      <c r="S21" s="193">
        <f t="shared" si="4"/>
        <v>137.33381623328</v>
      </c>
      <c r="T21" s="193">
        <f t="shared" si="4"/>
        <v>137.149736991615</v>
      </c>
      <c r="U21" s="193">
        <f t="shared" si="4"/>
        <v>137.149736991615</v>
      </c>
      <c r="V21" s="193">
        <f t="shared" si="4"/>
        <v>137.149736991615</v>
      </c>
      <c r="W21" s="193">
        <f t="shared" si="4"/>
        <v>137.149736991615</v>
      </c>
      <c r="X21" s="193">
        <f t="shared" si="4"/>
        <v>137.149736991615</v>
      </c>
      <c r="Y21" s="193">
        <f t="shared" si="4"/>
        <v>137.149736991615</v>
      </c>
      <c r="Z21" s="191">
        <f t="shared" si="1"/>
        <v>136.899174607358</v>
      </c>
      <c r="AB21" s="180"/>
    </row>
    <row r="22" ht="15" customHeight="1">
      <c r="A22" s="187" t="s">
        <v>264</v>
      </c>
      <c r="B22" s="180">
        <f>Assumptions!$B$94</f>
        <v>30</v>
      </c>
      <c r="C22" s="180">
        <f>Assumptions!$B$94</f>
        <v>30</v>
      </c>
      <c r="D22" s="180">
        <f>Assumptions!$B$94</f>
        <v>30</v>
      </c>
      <c r="E22" s="180">
        <f>Assumptions!$B$94</f>
        <v>30</v>
      </c>
      <c r="F22" s="180">
        <f>Assumptions!$B$94</f>
        <v>30</v>
      </c>
      <c r="G22" s="180">
        <f>Assumptions!$B$94</f>
        <v>30</v>
      </c>
      <c r="H22" s="180">
        <f>Assumptions!$B$94</f>
        <v>30</v>
      </c>
      <c r="I22" s="180">
        <f>Assumptions!$B$94</f>
        <v>30</v>
      </c>
      <c r="J22" s="180">
        <f>Assumptions!$B$94</f>
        <v>30</v>
      </c>
      <c r="K22" s="180">
        <f>Assumptions!$B$94</f>
        <v>30</v>
      </c>
      <c r="L22" s="180">
        <f>Assumptions!$B$94</f>
        <v>30</v>
      </c>
      <c r="M22" s="180">
        <f>Assumptions!$B$94</f>
        <v>30</v>
      </c>
      <c r="N22" s="180">
        <f>Assumptions!$B$94</f>
        <v>30</v>
      </c>
      <c r="O22" s="180">
        <f>Assumptions!$B$94</f>
        <v>30</v>
      </c>
      <c r="P22" s="180">
        <f>Assumptions!$B$94</f>
        <v>30</v>
      </c>
      <c r="Q22" s="180">
        <f>Assumptions!$B$94</f>
        <v>30</v>
      </c>
      <c r="R22" s="180">
        <f>Assumptions!$B$94</f>
        <v>30</v>
      </c>
      <c r="S22" s="180">
        <f>Assumptions!$B$94</f>
        <v>30</v>
      </c>
      <c r="T22" s="180">
        <f>Assumptions!$B$94</f>
        <v>30</v>
      </c>
      <c r="U22" s="180">
        <f>Assumptions!$B$94</f>
        <v>30</v>
      </c>
      <c r="V22" s="180">
        <f>Assumptions!$B$94</f>
        <v>30</v>
      </c>
      <c r="W22" s="180">
        <f>Assumptions!$B$94</f>
        <v>30</v>
      </c>
      <c r="X22" s="180">
        <f>Assumptions!$B$94</f>
        <v>30</v>
      </c>
      <c r="Y22" s="180">
        <f>Assumptions!$B$94</f>
        <v>30</v>
      </c>
      <c r="Z22" s="189"/>
      <c r="AB22" s="180"/>
    </row>
    <row r="23" ht="15" customHeight="1">
      <c r="A23" s="187" t="s">
        <v>504</v>
      </c>
      <c r="B23" s="136" t="str">
        <f t="shared" si="5" ref="B23:Y23">IF(B21&gt;=B22,"✓ Above Target","⚠ Below Target")</f>
        <v>✓ Above Target</v>
      </c>
      <c r="C23" s="136" t="str">
        <f t="shared" si="5"/>
        <v>✓ Above Target</v>
      </c>
      <c r="D23" s="136" t="str">
        <f t="shared" si="5"/>
        <v>✓ Above Target</v>
      </c>
      <c r="E23" s="136" t="str">
        <f t="shared" si="5"/>
        <v>✓ Above Target</v>
      </c>
      <c r="F23" s="136" t="str">
        <f t="shared" si="5"/>
        <v>✓ Above Target</v>
      </c>
      <c r="G23" s="136" t="str">
        <f t="shared" si="5"/>
        <v>✓ Above Target</v>
      </c>
      <c r="H23" s="136" t="str">
        <f t="shared" si="5"/>
        <v>✓ Above Target</v>
      </c>
      <c r="I23" s="136" t="str">
        <f t="shared" si="5"/>
        <v>✓ Above Target</v>
      </c>
      <c r="J23" s="136" t="str">
        <f t="shared" si="5"/>
        <v>✓ Above Target</v>
      </c>
      <c r="K23" s="136" t="str">
        <f t="shared" si="5"/>
        <v>✓ Above Target</v>
      </c>
      <c r="L23" s="136" t="str">
        <f t="shared" si="5"/>
        <v>✓ Above Target</v>
      </c>
      <c r="M23" s="136" t="str">
        <f t="shared" si="5"/>
        <v>✓ Above Target</v>
      </c>
      <c r="N23" s="136" t="str">
        <f t="shared" si="5"/>
        <v>✓ Above Target</v>
      </c>
      <c r="O23" s="136" t="str">
        <f t="shared" si="5"/>
        <v>✓ Above Target</v>
      </c>
      <c r="P23" s="136" t="str">
        <f t="shared" si="5"/>
        <v>✓ Above Target</v>
      </c>
      <c r="Q23" s="136" t="str">
        <f t="shared" si="5"/>
        <v>✓ Above Target</v>
      </c>
      <c r="R23" s="136" t="str">
        <f t="shared" si="5"/>
        <v>✓ Above Target</v>
      </c>
      <c r="S23" s="136" t="str">
        <f t="shared" si="5"/>
        <v>✓ Above Target</v>
      </c>
      <c r="T23" s="136" t="str">
        <f t="shared" si="5"/>
        <v>✓ Above Target</v>
      </c>
      <c r="U23" s="136" t="str">
        <f t="shared" si="5"/>
        <v>✓ Above Target</v>
      </c>
      <c r="V23" s="136" t="str">
        <f t="shared" si="5"/>
        <v>✓ Above Target</v>
      </c>
      <c r="W23" s="136" t="str">
        <f t="shared" si="5"/>
        <v>✓ Above Target</v>
      </c>
      <c r="X23" s="136" t="str">
        <f t="shared" si="5"/>
        <v>✓ Above Target</v>
      </c>
      <c r="Y23" s="136" t="str">
        <f t="shared" si="5"/>
        <v>✓ Above Target</v>
      </c>
      <c r="Z23" s="189"/>
      <c r="AB23" s="180"/>
    </row>
    <row r="24" ht="15" customHeight="1">
      <c r="A24" s="186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91"/>
      <c r="AB24" s="180"/>
    </row>
    <row r="25" ht="15" customHeight="1">
      <c r="A25" s="187" t="s">
        <v>506</v>
      </c>
      <c r="B25" s="136">
        <f t="shared" si="6" ref="B25:Y25">IF(B10=0,0,IF(B13*B14=0,0,B10/(B13*B14)))</f>
        <v>0.14744615299291</v>
      </c>
      <c r="C25" s="37">
        <f t="shared" si="6"/>
        <v>0.14744615299291</v>
      </c>
      <c r="D25" s="37">
        <f t="shared" si="6"/>
        <v>0.14744615299291</v>
      </c>
      <c r="E25" s="37">
        <f t="shared" si="6"/>
        <v>0.146386929683708</v>
      </c>
      <c r="F25" s="37">
        <f t="shared" si="6"/>
        <v>0.146386929683708</v>
      </c>
      <c r="G25" s="37">
        <f t="shared" si="6"/>
        <v>0.146386929683708</v>
      </c>
      <c r="H25" s="37">
        <f t="shared" si="6"/>
        <v>0.146007072150981</v>
      </c>
      <c r="I25" s="37">
        <f t="shared" si="6"/>
        <v>0.146007072150981</v>
      </c>
      <c r="J25" s="37">
        <f t="shared" si="6"/>
        <v>0.146007072150981</v>
      </c>
      <c r="K25" s="37">
        <f t="shared" si="6"/>
        <v>0.146007072150981</v>
      </c>
      <c r="L25" s="37">
        <f t="shared" si="6"/>
        <v>0.146007072150981</v>
      </c>
      <c r="M25" s="37">
        <f t="shared" si="6"/>
        <v>0.146007072150981</v>
      </c>
      <c r="N25" s="37">
        <f t="shared" si="6"/>
        <v>0.145630555886012</v>
      </c>
      <c r="O25" s="37">
        <f t="shared" si="6"/>
        <v>0.145630555886012</v>
      </c>
      <c r="P25" s="37">
        <f t="shared" si="6"/>
        <v>0.145630555886012</v>
      </c>
      <c r="Q25" s="37">
        <f t="shared" si="6"/>
        <v>0.145630555886012</v>
      </c>
      <c r="R25" s="37">
        <f t="shared" si="6"/>
        <v>0.145630555886012</v>
      </c>
      <c r="S25" s="37">
        <f t="shared" si="6"/>
        <v>0.145630555886012</v>
      </c>
      <c r="T25" s="37">
        <f t="shared" si="6"/>
        <v>0.14582601788892</v>
      </c>
      <c r="U25" s="37">
        <f t="shared" si="6"/>
        <v>0.14582601788892</v>
      </c>
      <c r="V25" s="37">
        <f t="shared" si="6"/>
        <v>0.14582601788892</v>
      </c>
      <c r="W25" s="37">
        <f t="shared" si="6"/>
        <v>0.14582601788892</v>
      </c>
      <c r="X25" s="37">
        <f t="shared" si="6"/>
        <v>0.14582601788892</v>
      </c>
      <c r="Y25" s="37">
        <f t="shared" si="6"/>
        <v>0.14582601788892</v>
      </c>
      <c r="Z25" s="191">
        <f t="shared" si="1"/>
        <v>0.146095046816056</v>
      </c>
      <c r="AB25" s="180"/>
    </row>
    <row r="26" ht="15" customHeight="1">
      <c r="A26" s="187" t="s">
        <v>507</v>
      </c>
      <c r="B26" s="40">
        <v>12</v>
      </c>
      <c r="C26" s="40">
        <v>12</v>
      </c>
      <c r="D26" s="40">
        <v>12</v>
      </c>
      <c r="E26" s="40">
        <v>12</v>
      </c>
      <c r="F26" s="40">
        <v>12</v>
      </c>
      <c r="G26" s="40">
        <v>12</v>
      </c>
      <c r="H26" s="40">
        <v>12</v>
      </c>
      <c r="I26" s="40">
        <v>12</v>
      </c>
      <c r="J26" s="40">
        <v>12</v>
      </c>
      <c r="K26" s="40">
        <v>12</v>
      </c>
      <c r="L26" s="40">
        <v>12</v>
      </c>
      <c r="M26" s="40">
        <v>12</v>
      </c>
      <c r="N26" s="40">
        <v>12</v>
      </c>
      <c r="O26" s="40">
        <v>12</v>
      </c>
      <c r="P26" s="40">
        <v>12</v>
      </c>
      <c r="Q26" s="40">
        <v>12</v>
      </c>
      <c r="R26" s="40">
        <v>12</v>
      </c>
      <c r="S26" s="40">
        <v>12</v>
      </c>
      <c r="T26" s="40">
        <v>12</v>
      </c>
      <c r="U26" s="40">
        <v>12</v>
      </c>
      <c r="V26" s="40">
        <v>12</v>
      </c>
      <c r="W26" s="40">
        <v>12</v>
      </c>
      <c r="X26" s="40">
        <v>12</v>
      </c>
      <c r="Y26" s="40">
        <v>12</v>
      </c>
      <c r="Z26" s="194"/>
      <c r="AB26" s="180"/>
    </row>
    <row r="27" ht="15" customHeight="1">
      <c r="A27" s="187" t="s">
        <v>508</v>
      </c>
      <c r="B27" t="str">
        <f t="shared" si="7" ref="B27:Y27">IF(B25&lt;=B26,"✓ Within Target","⚠ Exceeds Target")</f>
        <v>✓ Within Target</v>
      </c>
      <c r="C27" t="str">
        <f t="shared" si="7"/>
        <v>✓ Within Target</v>
      </c>
      <c r="D27" t="str">
        <f t="shared" si="7"/>
        <v>✓ Within Target</v>
      </c>
      <c r="E27" t="str">
        <f t="shared" si="7"/>
        <v>✓ Within Target</v>
      </c>
      <c r="F27" t="str">
        <f t="shared" si="7"/>
        <v>✓ Within Target</v>
      </c>
      <c r="G27" t="str">
        <f t="shared" si="7"/>
        <v>✓ Within Target</v>
      </c>
      <c r="H27" t="str">
        <f t="shared" si="7"/>
        <v>✓ Within Target</v>
      </c>
      <c r="I27" t="str">
        <f t="shared" si="7"/>
        <v>✓ Within Target</v>
      </c>
      <c r="J27" t="str">
        <f t="shared" si="7"/>
        <v>✓ Within Target</v>
      </c>
      <c r="K27" t="str">
        <f t="shared" si="7"/>
        <v>✓ Within Target</v>
      </c>
      <c r="L27" t="str">
        <f t="shared" si="7"/>
        <v>✓ Within Target</v>
      </c>
      <c r="M27" t="str">
        <f t="shared" si="7"/>
        <v>✓ Within Target</v>
      </c>
      <c r="N27" t="str">
        <f t="shared" si="7"/>
        <v>✓ Within Target</v>
      </c>
      <c r="O27" t="str">
        <f t="shared" si="7"/>
        <v>✓ Within Target</v>
      </c>
      <c r="P27" t="str">
        <f t="shared" si="7"/>
        <v>✓ Within Target</v>
      </c>
      <c r="Q27" t="str">
        <f t="shared" si="7"/>
        <v>✓ Within Target</v>
      </c>
      <c r="R27" t="str">
        <f t="shared" si="7"/>
        <v>✓ Within Target</v>
      </c>
      <c r="S27" t="str">
        <f t="shared" si="7"/>
        <v>✓ Within Target</v>
      </c>
      <c r="T27" t="str">
        <f t="shared" si="7"/>
        <v>✓ Within Target</v>
      </c>
      <c r="U27" t="str">
        <f t="shared" si="7"/>
        <v>✓ Within Target</v>
      </c>
      <c r="V27" t="str">
        <f t="shared" si="7"/>
        <v>✓ Within Target</v>
      </c>
      <c r="W27" t="str">
        <f t="shared" si="7"/>
        <v>✓ Within Target</v>
      </c>
      <c r="X27" t="str">
        <f t="shared" si="7"/>
        <v>✓ Within Target</v>
      </c>
      <c r="Y27" t="str">
        <f t="shared" si="7"/>
        <v>✓ Within Target</v>
      </c>
      <c r="Z27" s="191"/>
      <c r="AB27" s="180"/>
    </row>
    <row r="28" ht="15" customHeight="1">
      <c r="A28" s="18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85"/>
      <c r="AB28" s="180"/>
    </row>
    <row r="29" ht="15" customHeight="1">
      <c r="A29" s="18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85"/>
      <c r="AB29" s="180"/>
    </row>
    <row r="30" ht="15.75" customHeight="1">
      <c r="A30" s="195" t="s">
        <v>510</v>
      </c>
      <c r="B30" s="180"/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5"/>
      <c r="AB30" s="180"/>
    </row>
    <row r="31" ht="15" customHeight="1">
      <c r="A31" s="187" t="s">
        <v>511</v>
      </c>
      <c r="B31" s="37">
        <f t="shared" si="8" ref="B31:Y31">B13</f>
        <v>22.0447859649123</v>
      </c>
      <c r="C31" s="37">
        <f t="shared" si="8"/>
        <v>22.0447859649123</v>
      </c>
      <c r="D31" s="37">
        <f t="shared" si="8"/>
        <v>22.0447859649123</v>
      </c>
      <c r="E31" s="37">
        <f t="shared" si="8"/>
        <v>22.1007446616541</v>
      </c>
      <c r="F31" s="37">
        <f t="shared" si="8"/>
        <v>22.1007446616541</v>
      </c>
      <c r="G31" s="37">
        <f t="shared" si="8"/>
        <v>22.1007446616541</v>
      </c>
      <c r="H31" s="37">
        <f t="shared" si="8"/>
        <v>22.0447859649123</v>
      </c>
      <c r="I31" s="37">
        <f t="shared" si="8"/>
        <v>22.0447859649123</v>
      </c>
      <c r="J31" s="37">
        <f t="shared" si="8"/>
        <v>22.0447859649123</v>
      </c>
      <c r="K31" s="37">
        <f t="shared" si="8"/>
        <v>22.0447859649123</v>
      </c>
      <c r="L31" s="37">
        <f t="shared" si="8"/>
        <v>22.0447859649123</v>
      </c>
      <c r="M31" s="37">
        <f t="shared" si="8"/>
        <v>22.0447859649123</v>
      </c>
      <c r="N31" s="37">
        <f t="shared" si="8"/>
        <v>22.0447859649123</v>
      </c>
      <c r="O31" s="37">
        <f t="shared" si="8"/>
        <v>22.0447859649123</v>
      </c>
      <c r="P31" s="37">
        <f t="shared" si="8"/>
        <v>22.0447859649123</v>
      </c>
      <c r="Q31" s="37">
        <f t="shared" si="8"/>
        <v>22.0447859649123</v>
      </c>
      <c r="R31" s="37">
        <f t="shared" si="8"/>
        <v>22.0447859649123</v>
      </c>
      <c r="S31" s="37">
        <f t="shared" si="8"/>
        <v>22.0447859649123</v>
      </c>
      <c r="T31" s="37">
        <f t="shared" si="8"/>
        <v>22.0447859649123</v>
      </c>
      <c r="U31" s="37">
        <f t="shared" si="8"/>
        <v>22.0447859649123</v>
      </c>
      <c r="V31" s="37">
        <f t="shared" si="8"/>
        <v>22.0447859649123</v>
      </c>
      <c r="W31" s="37">
        <f t="shared" si="8"/>
        <v>22.0447859649123</v>
      </c>
      <c r="X31" s="37">
        <f t="shared" si="8"/>
        <v>22.0447859649123</v>
      </c>
      <c r="Y31" s="37">
        <f t="shared" si="8"/>
        <v>22.0447859649123</v>
      </c>
      <c r="Z31" s="185"/>
      <c r="AB31" s="180"/>
    </row>
    <row r="32" ht="15" customHeight="1">
      <c r="A32" s="187" t="s">
        <v>512</v>
      </c>
      <c r="B32" s="37">
        <f>IF('Accounts &amp; Traffic'!B47=0,0,'COGS &amp; Tech'!B26/'Accounts &amp; Traffic'!B47)</f>
        <v>0.739503078684365</v>
      </c>
      <c r="C32" s="37">
        <f>IF('Accounts &amp; Traffic'!C47=0,0,'COGS &amp; Tech'!C26/'Accounts &amp; Traffic'!C47)</f>
        <v>0.739503078684365</v>
      </c>
      <c r="D32" s="37">
        <f>IF('Accounts &amp; Traffic'!D47=0,0,'COGS &amp; Tech'!D26/'Accounts &amp; Traffic'!D47)</f>
        <v>0.739503078684365</v>
      </c>
      <c r="E32" s="37">
        <f>IF('Accounts &amp; Traffic'!E47=0,0,'COGS &amp; Tech'!E26/'Accounts &amp; Traffic'!E47)</f>
        <v>0.586828623587187</v>
      </c>
      <c r="F32" s="37">
        <f>IF('Accounts &amp; Traffic'!F47=0,0,'COGS &amp; Tech'!F26/'Accounts &amp; Traffic'!F47)</f>
        <v>0.586828623587187</v>
      </c>
      <c r="G32" s="37">
        <f>IF('Accounts &amp; Traffic'!G47=0,0,'COGS &amp; Tech'!G26/'Accounts &amp; Traffic'!G47)</f>
        <v>0.586828623587187</v>
      </c>
      <c r="H32" s="37">
        <f>IF('Accounts &amp; Traffic'!H47=0,0,'COGS &amp; Tech'!H26/'Accounts &amp; Traffic'!H47)</f>
        <v>0.529513083119321</v>
      </c>
      <c r="I32" s="37">
        <f>IF('Accounts &amp; Traffic'!I47=0,0,'COGS &amp; Tech'!I26/'Accounts &amp; Traffic'!I47)</f>
        <v>0.529513083119321</v>
      </c>
      <c r="J32" s="37">
        <f>IF('Accounts &amp; Traffic'!J47=0,0,'COGS &amp; Tech'!J26/'Accounts &amp; Traffic'!J47)</f>
        <v>0.529513083119321</v>
      </c>
      <c r="K32" s="37">
        <f>IF('Accounts &amp; Traffic'!K47=0,0,'COGS &amp; Tech'!K26/'Accounts &amp; Traffic'!K47)</f>
        <v>0.529513083119321</v>
      </c>
      <c r="L32" s="37">
        <f>IF('Accounts &amp; Traffic'!L47=0,0,'COGS &amp; Tech'!L26/'Accounts &amp; Traffic'!L47)</f>
        <v>0.529513083119321</v>
      </c>
      <c r="M32" s="37">
        <f>IF('Accounts &amp; Traffic'!M47=0,0,'COGS &amp; Tech'!M26/'Accounts &amp; Traffic'!M47)</f>
        <v>0.529513083119321</v>
      </c>
      <c r="N32" s="37">
        <f>IF('Accounts &amp; Traffic'!N47=0,0,'COGS &amp; Tech'!N26/'Accounts &amp; Traffic'!N47)</f>
        <v>0.473887049585555</v>
      </c>
      <c r="O32" s="37">
        <f>IF('Accounts &amp; Traffic'!O47=0,0,'COGS &amp; Tech'!O26/'Accounts &amp; Traffic'!O47)</f>
        <v>0.473887049585555</v>
      </c>
      <c r="P32" s="37">
        <f>IF('Accounts &amp; Traffic'!P47=0,0,'COGS &amp; Tech'!P26/'Accounts &amp; Traffic'!P47)</f>
        <v>0.473887049585555</v>
      </c>
      <c r="Q32" s="37">
        <f>IF('Accounts &amp; Traffic'!Q47=0,0,'COGS &amp; Tech'!Q26/'Accounts &amp; Traffic'!Q47)</f>
        <v>0.473887049585555</v>
      </c>
      <c r="R32" s="37">
        <f>IF('Accounts &amp; Traffic'!R47=0,0,'COGS &amp; Tech'!R26/'Accounts &amp; Traffic'!R47)</f>
        <v>0.473887049585555</v>
      </c>
      <c r="S32" s="37">
        <f>IF('Accounts &amp; Traffic'!S47=0,0,'COGS &amp; Tech'!S26/'Accounts &amp; Traffic'!S47)</f>
        <v>0.473887049585555</v>
      </c>
      <c r="T32" s="37">
        <f>IF('Accounts &amp; Traffic'!T47=0,0,'COGS &amp; Tech'!T26/'Accounts &amp; Traffic'!T47)</f>
        <v>0.50280021040255</v>
      </c>
      <c r="U32" s="37">
        <f>IF('Accounts &amp; Traffic'!U47=0,0,'COGS &amp; Tech'!U26/'Accounts &amp; Traffic'!U47)</f>
        <v>0.50280021040255</v>
      </c>
      <c r="V32" s="37">
        <f>IF('Accounts &amp; Traffic'!V47=0,0,'COGS &amp; Tech'!V26/'Accounts &amp; Traffic'!V47)</f>
        <v>0.50280021040255</v>
      </c>
      <c r="W32" s="37">
        <f>IF('Accounts &amp; Traffic'!W47=0,0,'COGS &amp; Tech'!W26/'Accounts &amp; Traffic'!W47)</f>
        <v>0.50280021040255</v>
      </c>
      <c r="X32" s="37">
        <f>IF('Accounts &amp; Traffic'!X47=0,0,'COGS &amp; Tech'!X26/'Accounts &amp; Traffic'!X47)</f>
        <v>0.50280021040255</v>
      </c>
      <c r="Y32" s="37">
        <f>IF('Accounts &amp; Traffic'!Y47=0,0,'COGS &amp; Tech'!Y26/'Accounts &amp; Traffic'!Y47)</f>
        <v>0.50280021040255</v>
      </c>
      <c r="Z32" s="185"/>
      <c r="AB32" s="180"/>
    </row>
    <row r="33" ht="15" customHeight="1">
      <c r="A33" s="187" t="s">
        <v>513</v>
      </c>
      <c r="B33" s="37">
        <f t="shared" si="9" ref="B33:Y33">B31-B32</f>
        <v>21.3052828862279</v>
      </c>
      <c r="C33" s="37">
        <f t="shared" si="9"/>
        <v>21.3052828862279</v>
      </c>
      <c r="D33" s="37">
        <f t="shared" si="9"/>
        <v>21.3052828862279</v>
      </c>
      <c r="E33" s="37">
        <f t="shared" si="9"/>
        <v>21.5139160380669</v>
      </c>
      <c r="F33" s="37">
        <f t="shared" si="9"/>
        <v>21.5139160380669</v>
      </c>
      <c r="G33" s="37">
        <f t="shared" si="9"/>
        <v>21.5139160380669</v>
      </c>
      <c r="H33" s="37">
        <f t="shared" si="9"/>
        <v>21.515272881793</v>
      </c>
      <c r="I33" s="37">
        <f t="shared" si="9"/>
        <v>21.515272881793</v>
      </c>
      <c r="J33" s="37">
        <f t="shared" si="9"/>
        <v>21.515272881793</v>
      </c>
      <c r="K33" s="37">
        <f t="shared" si="9"/>
        <v>21.515272881793</v>
      </c>
      <c r="L33" s="37">
        <f t="shared" si="9"/>
        <v>21.515272881793</v>
      </c>
      <c r="M33" s="37">
        <f t="shared" si="9"/>
        <v>21.515272881793</v>
      </c>
      <c r="N33" s="37">
        <f t="shared" si="9"/>
        <v>21.5708989153267</v>
      </c>
      <c r="O33" s="37">
        <f t="shared" si="9"/>
        <v>21.5708989153267</v>
      </c>
      <c r="P33" s="37">
        <f t="shared" si="9"/>
        <v>21.5708989153267</v>
      </c>
      <c r="Q33" s="37">
        <f t="shared" si="9"/>
        <v>21.5708989153267</v>
      </c>
      <c r="R33" s="37">
        <f t="shared" si="9"/>
        <v>21.5708989153267</v>
      </c>
      <c r="S33" s="37">
        <f t="shared" si="9"/>
        <v>21.5708989153267</v>
      </c>
      <c r="T33" s="37">
        <f t="shared" si="9"/>
        <v>21.5419857545097</v>
      </c>
      <c r="U33" s="37">
        <f t="shared" si="9"/>
        <v>21.5419857545097</v>
      </c>
      <c r="V33" s="37">
        <f t="shared" si="9"/>
        <v>21.5419857545097</v>
      </c>
      <c r="W33" s="37">
        <f t="shared" si="9"/>
        <v>21.5419857545097</v>
      </c>
      <c r="X33" s="37">
        <f t="shared" si="9"/>
        <v>21.5419857545097</v>
      </c>
      <c r="Y33" s="37">
        <f t="shared" si="9"/>
        <v>21.5419857545097</v>
      </c>
      <c r="Z33" s="191">
        <f t="shared" si="1"/>
        <v>21.5094392534442</v>
      </c>
      <c r="AB33" s="180"/>
    </row>
    <row r="34" ht="15" customHeight="1">
      <c r="A34" s="187" t="s">
        <v>514</v>
      </c>
      <c r="B34" s="37">
        <f t="shared" si="10" ref="B34:Y34">IF(B31=0,0,B33/B31)</f>
        <v>0.966454513105211</v>
      </c>
      <c r="C34" s="37">
        <f t="shared" si="10"/>
        <v>0.966454513105211</v>
      </c>
      <c r="D34" s="37">
        <f t="shared" si="10"/>
        <v>0.966454513105211</v>
      </c>
      <c r="E34" s="37">
        <f t="shared" si="10"/>
        <v>0.973447563302906</v>
      </c>
      <c r="F34" s="37">
        <f t="shared" si="10"/>
        <v>0.973447563302906</v>
      </c>
      <c r="G34" s="37">
        <f t="shared" si="10"/>
        <v>0.973447563302906</v>
      </c>
      <c r="H34" s="37">
        <f t="shared" si="10"/>
        <v>0.975980121378266</v>
      </c>
      <c r="I34" s="37">
        <f t="shared" si="10"/>
        <v>0.975980121378266</v>
      </c>
      <c r="J34" s="37">
        <f t="shared" si="10"/>
        <v>0.975980121378266</v>
      </c>
      <c r="K34" s="37">
        <f t="shared" si="10"/>
        <v>0.975980121378266</v>
      </c>
      <c r="L34" s="37">
        <f t="shared" si="10"/>
        <v>0.975980121378266</v>
      </c>
      <c r="M34" s="37">
        <f t="shared" si="10"/>
        <v>0.975980121378266</v>
      </c>
      <c r="N34" s="37">
        <f t="shared" si="10"/>
        <v>0.97850344066212</v>
      </c>
      <c r="O34" s="37">
        <f t="shared" si="10"/>
        <v>0.97850344066212</v>
      </c>
      <c r="P34" s="37">
        <f t="shared" si="10"/>
        <v>0.97850344066212</v>
      </c>
      <c r="Q34" s="37">
        <f t="shared" si="10"/>
        <v>0.97850344066212</v>
      </c>
      <c r="R34" s="37">
        <f t="shared" si="10"/>
        <v>0.97850344066212</v>
      </c>
      <c r="S34" s="37">
        <f t="shared" si="10"/>
        <v>0.97850344066212</v>
      </c>
      <c r="T34" s="37">
        <f t="shared" si="10"/>
        <v>0.977191876065257</v>
      </c>
      <c r="U34" s="37">
        <f t="shared" si="10"/>
        <v>0.977191876065257</v>
      </c>
      <c r="V34" s="37">
        <f t="shared" si="10"/>
        <v>0.977191876065257</v>
      </c>
      <c r="W34" s="37">
        <f t="shared" si="10"/>
        <v>0.977191876065257</v>
      </c>
      <c r="X34" s="37">
        <f t="shared" si="10"/>
        <v>0.977191876065257</v>
      </c>
      <c r="Y34" s="37">
        <f t="shared" si="10"/>
        <v>0.977191876065257</v>
      </c>
      <c r="Z34" s="191">
        <f t="shared" si="1"/>
        <v>0.975406619077425</v>
      </c>
      <c r="AB34" s="180"/>
    </row>
    <row r="35" ht="15" customHeight="1">
      <c r="A35" s="187" t="s">
        <v>515</v>
      </c>
      <c r="B35" s="136">
        <f t="shared" si="11" ref="B35:Y35">IF(B33=0,0,B10/B33)</f>
        <v>0.147446152992911</v>
      </c>
      <c r="C35" s="136">
        <f t="shared" si="11"/>
        <v>0.147446152992911</v>
      </c>
      <c r="D35" s="136">
        <f t="shared" si="11"/>
        <v>0.147446152992911</v>
      </c>
      <c r="E35" s="136">
        <f t="shared" si="11"/>
        <v>0.146386929683709</v>
      </c>
      <c r="F35" s="136">
        <f t="shared" si="11"/>
        <v>0.146386929683709</v>
      </c>
      <c r="G35" s="136">
        <f t="shared" si="11"/>
        <v>0.146386929683709</v>
      </c>
      <c r="H35" s="136">
        <f t="shared" si="11"/>
        <v>0.146007072150981</v>
      </c>
      <c r="I35" s="136">
        <f t="shared" si="11"/>
        <v>0.146007072150981</v>
      </c>
      <c r="J35" s="136">
        <f t="shared" si="11"/>
        <v>0.146007072150981</v>
      </c>
      <c r="K35" s="136">
        <f t="shared" si="11"/>
        <v>0.146007072150981</v>
      </c>
      <c r="L35" s="136">
        <f t="shared" si="11"/>
        <v>0.146007072150981</v>
      </c>
      <c r="M35" s="136">
        <f t="shared" si="11"/>
        <v>0.146007072150981</v>
      </c>
      <c r="N35" s="136">
        <f t="shared" si="11"/>
        <v>0.145630555886012</v>
      </c>
      <c r="O35" s="136">
        <f t="shared" si="11"/>
        <v>0.145630555886012</v>
      </c>
      <c r="P35" s="136">
        <f t="shared" si="11"/>
        <v>0.145630555886012</v>
      </c>
      <c r="Q35" s="136">
        <f t="shared" si="11"/>
        <v>0.145630555886012</v>
      </c>
      <c r="R35" s="136">
        <f t="shared" si="11"/>
        <v>0.145630555886012</v>
      </c>
      <c r="S35" s="136">
        <f t="shared" si="11"/>
        <v>0.145630555886012</v>
      </c>
      <c r="T35" s="136">
        <f t="shared" si="11"/>
        <v>0.14582601788892</v>
      </c>
      <c r="U35" s="136">
        <f t="shared" si="11"/>
        <v>0.14582601788892</v>
      </c>
      <c r="V35" s="136">
        <f t="shared" si="11"/>
        <v>0.14582601788892</v>
      </c>
      <c r="W35" s="136">
        <f t="shared" si="11"/>
        <v>0.14582601788892</v>
      </c>
      <c r="X35" s="136">
        <f t="shared" si="11"/>
        <v>0.14582601788892</v>
      </c>
      <c r="Y35" s="136">
        <f t="shared" si="11"/>
        <v>0.14582601788892</v>
      </c>
      <c r="Z35" s="185"/>
      <c r="AB35" s="180"/>
    </row>
    <row r="36" ht="15" customHeight="1">
      <c r="A36" s="18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85"/>
      <c r="AB36" s="180"/>
    </row>
    <row r="37" ht="15.75" customHeight="1">
      <c r="A37" s="196" t="s">
        <v>516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85"/>
      <c r="AB37" s="180"/>
    </row>
    <row r="38" ht="15" customHeight="1">
      <c r="A38" s="187" t="s">
        <v>517</v>
      </c>
      <c r="B38" s="16" t="str">
        <f t="shared" si="12" ref="B38:Y38">IF(B18&gt;B10,"✓ Yes","✗ No")</f>
        <v>✓ Yes</v>
      </c>
      <c r="C38" s="16" t="str">
        <f t="shared" si="12"/>
        <v>✓ Yes</v>
      </c>
      <c r="D38" s="16" t="str">
        <f t="shared" si="12"/>
        <v>✓ Yes</v>
      </c>
      <c r="E38" s="16" t="str">
        <f t="shared" si="12"/>
        <v>✓ Yes</v>
      </c>
      <c r="F38" s="16" t="str">
        <f t="shared" si="12"/>
        <v>✓ Yes</v>
      </c>
      <c r="G38" s="16" t="str">
        <f t="shared" si="12"/>
        <v>✓ Yes</v>
      </c>
      <c r="H38" s="16" t="str">
        <f t="shared" si="12"/>
        <v>✓ Yes</v>
      </c>
      <c r="I38" s="16" t="str">
        <f t="shared" si="12"/>
        <v>✓ Yes</v>
      </c>
      <c r="J38" s="16" t="str">
        <f t="shared" si="12"/>
        <v>✓ Yes</v>
      </c>
      <c r="K38" s="16" t="str">
        <f t="shared" si="12"/>
        <v>✓ Yes</v>
      </c>
      <c r="L38" s="16" t="str">
        <f t="shared" si="12"/>
        <v>✓ Yes</v>
      </c>
      <c r="M38" s="16" t="str">
        <f t="shared" si="12"/>
        <v>✓ Yes</v>
      </c>
      <c r="N38" s="16" t="str">
        <f t="shared" si="12"/>
        <v>✓ Yes</v>
      </c>
      <c r="O38" s="16" t="str">
        <f t="shared" si="12"/>
        <v>✓ Yes</v>
      </c>
      <c r="P38" s="16" t="str">
        <f t="shared" si="12"/>
        <v>✓ Yes</v>
      </c>
      <c r="Q38" s="16" t="str">
        <f t="shared" si="12"/>
        <v>✓ Yes</v>
      </c>
      <c r="R38" s="16" t="str">
        <f t="shared" si="12"/>
        <v>✓ Yes</v>
      </c>
      <c r="S38" s="16" t="str">
        <f t="shared" si="12"/>
        <v>✓ Yes</v>
      </c>
      <c r="T38" s="16" t="str">
        <f t="shared" si="12"/>
        <v>✓ Yes</v>
      </c>
      <c r="U38" s="16" t="str">
        <f t="shared" si="12"/>
        <v>✓ Yes</v>
      </c>
      <c r="V38" s="16" t="str">
        <f t="shared" si="12"/>
        <v>✓ Yes</v>
      </c>
      <c r="W38" s="16" t="str">
        <f t="shared" si="12"/>
        <v>✓ Yes</v>
      </c>
      <c r="X38" s="16" t="str">
        <f t="shared" si="12"/>
        <v>✓ Yes</v>
      </c>
      <c r="Y38" s="16" t="str">
        <f t="shared" si="12"/>
        <v>✓ Yes</v>
      </c>
      <c r="Z38" s="185"/>
      <c r="AB38" s="180"/>
    </row>
    <row r="39" ht="15" customHeight="1">
      <c r="A39" s="187" t="s">
        <v>519</v>
      </c>
      <c r="B39" s="16" t="str">
        <f t="shared" si="13" ref="B39:Y39">IF(B21&gt;=B22,"✓ Yes","✗ No")</f>
        <v>✓ Yes</v>
      </c>
      <c r="C39" s="16" t="str">
        <f t="shared" si="13"/>
        <v>✓ Yes</v>
      </c>
      <c r="D39" s="16" t="str">
        <f t="shared" si="13"/>
        <v>✓ Yes</v>
      </c>
      <c r="E39" s="16" t="str">
        <f t="shared" si="13"/>
        <v>✓ Yes</v>
      </c>
      <c r="F39" s="16" t="str">
        <f t="shared" si="13"/>
        <v>✓ Yes</v>
      </c>
      <c r="G39" s="16" t="str">
        <f t="shared" si="13"/>
        <v>✓ Yes</v>
      </c>
      <c r="H39" s="16" t="str">
        <f t="shared" si="13"/>
        <v>✓ Yes</v>
      </c>
      <c r="I39" s="16" t="str">
        <f t="shared" si="13"/>
        <v>✓ Yes</v>
      </c>
      <c r="J39" s="16" t="str">
        <f t="shared" si="13"/>
        <v>✓ Yes</v>
      </c>
      <c r="K39" s="16" t="str">
        <f t="shared" si="13"/>
        <v>✓ Yes</v>
      </c>
      <c r="L39" s="16" t="str">
        <f t="shared" si="13"/>
        <v>✓ Yes</v>
      </c>
      <c r="M39" s="16" t="str">
        <f t="shared" si="13"/>
        <v>✓ Yes</v>
      </c>
      <c r="N39" s="16" t="str">
        <f t="shared" si="13"/>
        <v>✓ Yes</v>
      </c>
      <c r="O39" s="16" t="str">
        <f t="shared" si="13"/>
        <v>✓ Yes</v>
      </c>
      <c r="P39" s="16" t="str">
        <f t="shared" si="13"/>
        <v>✓ Yes</v>
      </c>
      <c r="Q39" s="16" t="str">
        <f t="shared" si="13"/>
        <v>✓ Yes</v>
      </c>
      <c r="R39" s="16" t="str">
        <f t="shared" si="13"/>
        <v>✓ Yes</v>
      </c>
      <c r="S39" s="16" t="str">
        <f t="shared" si="13"/>
        <v>✓ Yes</v>
      </c>
      <c r="T39" s="16" t="str">
        <f t="shared" si="13"/>
        <v>✓ Yes</v>
      </c>
      <c r="U39" s="16" t="str">
        <f t="shared" si="13"/>
        <v>✓ Yes</v>
      </c>
      <c r="V39" s="16" t="str">
        <f t="shared" si="13"/>
        <v>✓ Yes</v>
      </c>
      <c r="W39" s="16" t="str">
        <f t="shared" si="13"/>
        <v>✓ Yes</v>
      </c>
      <c r="X39" s="16" t="str">
        <f t="shared" si="13"/>
        <v>✓ Yes</v>
      </c>
      <c r="Y39" s="16" t="str">
        <f t="shared" si="13"/>
        <v>✓ Yes</v>
      </c>
      <c r="Z39" s="185"/>
      <c r="AB39" s="180"/>
    </row>
    <row r="40" ht="15" customHeight="1">
      <c r="A40" s="187" t="s">
        <v>520</v>
      </c>
      <c r="B40" t="str">
        <f t="shared" si="14" ref="B40:Y40">IF(B25&lt;=B26,"✓ Yes","✗ No")</f>
        <v>✓ Yes</v>
      </c>
      <c r="C40" t="str">
        <f t="shared" si="14"/>
        <v>✓ Yes</v>
      </c>
      <c r="D40" t="str">
        <f t="shared" si="14"/>
        <v>✓ Yes</v>
      </c>
      <c r="E40" t="str">
        <f t="shared" si="14"/>
        <v>✓ Yes</v>
      </c>
      <c r="F40" t="str">
        <f t="shared" si="14"/>
        <v>✓ Yes</v>
      </c>
      <c r="G40" t="str">
        <f t="shared" si="14"/>
        <v>✓ Yes</v>
      </c>
      <c r="H40" t="str">
        <f t="shared" si="14"/>
        <v>✓ Yes</v>
      </c>
      <c r="I40" t="str">
        <f t="shared" si="14"/>
        <v>✓ Yes</v>
      </c>
      <c r="J40" t="str">
        <f t="shared" si="14"/>
        <v>✓ Yes</v>
      </c>
      <c r="K40" t="str">
        <f t="shared" si="14"/>
        <v>✓ Yes</v>
      </c>
      <c r="L40" t="str">
        <f t="shared" si="14"/>
        <v>✓ Yes</v>
      </c>
      <c r="M40" t="str">
        <f t="shared" si="14"/>
        <v>✓ Yes</v>
      </c>
      <c r="N40" t="str">
        <f t="shared" si="14"/>
        <v>✓ Yes</v>
      </c>
      <c r="O40" t="str">
        <f t="shared" si="14"/>
        <v>✓ Yes</v>
      </c>
      <c r="P40" t="str">
        <f t="shared" si="14"/>
        <v>✓ Yes</v>
      </c>
      <c r="Q40" t="str">
        <f t="shared" si="14"/>
        <v>✓ Yes</v>
      </c>
      <c r="R40" t="str">
        <f t="shared" si="14"/>
        <v>✓ Yes</v>
      </c>
      <c r="S40" t="str">
        <f t="shared" si="14"/>
        <v>✓ Yes</v>
      </c>
      <c r="T40" t="str">
        <f t="shared" si="14"/>
        <v>✓ Yes</v>
      </c>
      <c r="U40" t="str">
        <f t="shared" si="14"/>
        <v>✓ Yes</v>
      </c>
      <c r="V40" t="str">
        <f t="shared" si="14"/>
        <v>✓ Yes</v>
      </c>
      <c r="W40" t="str">
        <f t="shared" si="14"/>
        <v>✓ Yes</v>
      </c>
      <c r="X40" t="str">
        <f t="shared" si="14"/>
        <v>✓ Yes</v>
      </c>
      <c r="Y40" t="str">
        <f t="shared" si="14"/>
        <v>✓ Yes</v>
      </c>
      <c r="Z40" s="185"/>
      <c r="AB40" s="180"/>
    </row>
    <row r="41" ht="15" customHeight="1">
      <c r="A41" s="187" t="s">
        <v>521</v>
      </c>
      <c r="B41" t="str">
        <f t="shared" si="15" ref="B41:Y41">IF(B25&lt;=12,"✓ Yes","✗ No")</f>
        <v>✓ Yes</v>
      </c>
      <c r="C41" t="str">
        <f t="shared" si="15"/>
        <v>✓ Yes</v>
      </c>
      <c r="D41" t="str">
        <f t="shared" si="15"/>
        <v>✓ Yes</v>
      </c>
      <c r="E41" t="str">
        <f t="shared" si="15"/>
        <v>✓ Yes</v>
      </c>
      <c r="F41" t="str">
        <f t="shared" si="15"/>
        <v>✓ Yes</v>
      </c>
      <c r="G41" t="str">
        <f t="shared" si="15"/>
        <v>✓ Yes</v>
      </c>
      <c r="H41" t="str">
        <f t="shared" si="15"/>
        <v>✓ Yes</v>
      </c>
      <c r="I41" t="str">
        <f t="shared" si="15"/>
        <v>✓ Yes</v>
      </c>
      <c r="J41" t="str">
        <f t="shared" si="15"/>
        <v>✓ Yes</v>
      </c>
      <c r="K41" t="str">
        <f t="shared" si="15"/>
        <v>✓ Yes</v>
      </c>
      <c r="L41" t="str">
        <f t="shared" si="15"/>
        <v>✓ Yes</v>
      </c>
      <c r="M41" t="str">
        <f t="shared" si="15"/>
        <v>✓ Yes</v>
      </c>
      <c r="N41" t="str">
        <f t="shared" si="15"/>
        <v>✓ Yes</v>
      </c>
      <c r="O41" t="str">
        <f t="shared" si="15"/>
        <v>✓ Yes</v>
      </c>
      <c r="P41" t="str">
        <f t="shared" si="15"/>
        <v>✓ Yes</v>
      </c>
      <c r="Q41" t="str">
        <f t="shared" si="15"/>
        <v>✓ Yes</v>
      </c>
      <c r="R41" t="str">
        <f t="shared" si="15"/>
        <v>✓ Yes</v>
      </c>
      <c r="S41" t="str">
        <f t="shared" si="15"/>
        <v>✓ Yes</v>
      </c>
      <c r="T41" t="str">
        <f t="shared" si="15"/>
        <v>✓ Yes</v>
      </c>
      <c r="U41" t="str">
        <f t="shared" si="15"/>
        <v>✓ Yes</v>
      </c>
      <c r="V41" t="str">
        <f t="shared" si="15"/>
        <v>✓ Yes</v>
      </c>
      <c r="W41" t="str">
        <f t="shared" si="15"/>
        <v>✓ Yes</v>
      </c>
      <c r="X41" t="str">
        <f t="shared" si="15"/>
        <v>✓ Yes</v>
      </c>
      <c r="Y41" t="str">
        <f t="shared" si="15"/>
        <v>✓ Yes</v>
      </c>
      <c r="Z41" s="185"/>
      <c r="AB41" s="180"/>
    </row>
    <row r="42" ht="15" customHeight="1">
      <c r="A42" s="187" t="s">
        <v>522</v>
      </c>
      <c r="B42" s="15" t="str">
        <f t="shared" si="16" ref="B42:Y42">IF(B21&gt;3,"✓ Yes","✗ No")</f>
        <v>✓ Yes</v>
      </c>
      <c r="C42" s="15" t="str">
        <f t="shared" si="16"/>
        <v>✓ Yes</v>
      </c>
      <c r="D42" s="15" t="str">
        <f t="shared" si="16"/>
        <v>✓ Yes</v>
      </c>
      <c r="E42" s="15" t="str">
        <f t="shared" si="16"/>
        <v>✓ Yes</v>
      </c>
      <c r="F42" s="15" t="str">
        <f t="shared" si="16"/>
        <v>✓ Yes</v>
      </c>
      <c r="G42" s="15" t="str">
        <f t="shared" si="16"/>
        <v>✓ Yes</v>
      </c>
      <c r="H42" s="15" t="str">
        <f t="shared" si="16"/>
        <v>✓ Yes</v>
      </c>
      <c r="I42" s="15" t="str">
        <f t="shared" si="16"/>
        <v>✓ Yes</v>
      </c>
      <c r="J42" s="15" t="str">
        <f t="shared" si="16"/>
        <v>✓ Yes</v>
      </c>
      <c r="K42" s="15" t="str">
        <f t="shared" si="16"/>
        <v>✓ Yes</v>
      </c>
      <c r="L42" s="15" t="str">
        <f t="shared" si="16"/>
        <v>✓ Yes</v>
      </c>
      <c r="M42" s="15" t="str">
        <f t="shared" si="16"/>
        <v>✓ Yes</v>
      </c>
      <c r="N42" s="15" t="str">
        <f t="shared" si="16"/>
        <v>✓ Yes</v>
      </c>
      <c r="O42" s="15" t="str">
        <f t="shared" si="16"/>
        <v>✓ Yes</v>
      </c>
      <c r="P42" s="15" t="str">
        <f t="shared" si="16"/>
        <v>✓ Yes</v>
      </c>
      <c r="Q42" s="15" t="str">
        <f t="shared" si="16"/>
        <v>✓ Yes</v>
      </c>
      <c r="R42" s="15" t="str">
        <f t="shared" si="16"/>
        <v>✓ Yes</v>
      </c>
      <c r="S42" s="15" t="str">
        <f t="shared" si="16"/>
        <v>✓ Yes</v>
      </c>
      <c r="T42" s="15" t="str">
        <f t="shared" si="16"/>
        <v>✓ Yes</v>
      </c>
      <c r="U42" s="15" t="str">
        <f t="shared" si="16"/>
        <v>✓ Yes</v>
      </c>
      <c r="V42" s="15" t="str">
        <f t="shared" si="16"/>
        <v>✓ Yes</v>
      </c>
      <c r="W42" s="15" t="str">
        <f t="shared" si="16"/>
        <v>✓ Yes</v>
      </c>
      <c r="X42" s="15" t="str">
        <f t="shared" si="16"/>
        <v>✓ Yes</v>
      </c>
      <c r="Y42" s="15" t="str">
        <f t="shared" si="16"/>
        <v>✓ Yes</v>
      </c>
      <c r="Z42" s="185"/>
      <c r="AB42" s="180"/>
    </row>
    <row r="43" ht="15" customHeight="1">
      <c r="A43" s="187" t="s">
        <v>523</v>
      </c>
      <c r="B43" s="15" t="str">
        <f t="shared" si="17" ref="B43:Y43">IF(B14&gt;0.70,"✓ Yes","✗ No")</f>
        <v>✓ Yes</v>
      </c>
      <c r="C43" s="15" t="str">
        <f t="shared" si="17"/>
        <v>✓ Yes</v>
      </c>
      <c r="D43" s="15" t="str">
        <f t="shared" si="17"/>
        <v>✓ Yes</v>
      </c>
      <c r="E43" s="15" t="str">
        <f t="shared" si="17"/>
        <v>✓ Yes</v>
      </c>
      <c r="F43" s="15" t="str">
        <f t="shared" si="17"/>
        <v>✓ Yes</v>
      </c>
      <c r="G43" s="15" t="str">
        <f t="shared" si="17"/>
        <v>✓ Yes</v>
      </c>
      <c r="H43" s="15" t="str">
        <f t="shared" si="17"/>
        <v>✓ Yes</v>
      </c>
      <c r="I43" s="15" t="str">
        <f t="shared" si="17"/>
        <v>✓ Yes</v>
      </c>
      <c r="J43" s="15" t="str">
        <f t="shared" si="17"/>
        <v>✓ Yes</v>
      </c>
      <c r="K43" s="15" t="str">
        <f t="shared" si="17"/>
        <v>✓ Yes</v>
      </c>
      <c r="L43" s="15" t="str">
        <f t="shared" si="17"/>
        <v>✓ Yes</v>
      </c>
      <c r="M43" s="15" t="str">
        <f t="shared" si="17"/>
        <v>✓ Yes</v>
      </c>
      <c r="N43" s="15" t="str">
        <f t="shared" si="17"/>
        <v>✓ Yes</v>
      </c>
      <c r="O43" s="15" t="str">
        <f t="shared" si="17"/>
        <v>✓ Yes</v>
      </c>
      <c r="P43" s="15" t="str">
        <f t="shared" si="17"/>
        <v>✓ Yes</v>
      </c>
      <c r="Q43" s="15" t="str">
        <f t="shared" si="17"/>
        <v>✓ Yes</v>
      </c>
      <c r="R43" s="15" t="str">
        <f t="shared" si="17"/>
        <v>✓ Yes</v>
      </c>
      <c r="S43" s="15" t="str">
        <f t="shared" si="17"/>
        <v>✓ Yes</v>
      </c>
      <c r="T43" s="15" t="str">
        <f t="shared" si="17"/>
        <v>✓ Yes</v>
      </c>
      <c r="U43" s="15" t="str">
        <f t="shared" si="17"/>
        <v>✓ Yes</v>
      </c>
      <c r="V43" s="15" t="str">
        <f t="shared" si="17"/>
        <v>✓ Yes</v>
      </c>
      <c r="W43" s="15" t="str">
        <f t="shared" si="17"/>
        <v>✓ Yes</v>
      </c>
      <c r="X43" s="15" t="str">
        <f t="shared" si="17"/>
        <v>✓ Yes</v>
      </c>
      <c r="Y43" s="15" t="str">
        <f t="shared" si="17"/>
        <v>✓ Yes</v>
      </c>
      <c r="Z43" s="185"/>
      <c r="AB43" s="180"/>
    </row>
    <row r="44" ht="15" customHeight="1">
      <c r="A44" s="186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85"/>
      <c r="AB44" s="180"/>
    </row>
    <row r="45" ht="15" customHeight="1">
      <c r="A45" s="187" t="s">
        <v>524</v>
      </c>
      <c r="B45" s="15" t="str">
        <f t="shared" si="18" ref="B45:Y45">IF(AND(B38="✓ Yes",B39="✓ Yes",B40="✓ Yes",B42="✓ Yes",B43="✓ Yes"),"✓ Healthy","⚠ Needs Review")</f>
        <v>✓ Healthy</v>
      </c>
      <c r="C45" s="15" t="str">
        <f t="shared" si="18"/>
        <v>✓ Healthy</v>
      </c>
      <c r="D45" s="15" t="str">
        <f t="shared" si="18"/>
        <v>✓ Healthy</v>
      </c>
      <c r="E45" s="15" t="str">
        <f t="shared" si="18"/>
        <v>✓ Healthy</v>
      </c>
      <c r="F45" s="15" t="str">
        <f t="shared" si="18"/>
        <v>✓ Healthy</v>
      </c>
      <c r="G45" s="15" t="str">
        <f t="shared" si="18"/>
        <v>✓ Healthy</v>
      </c>
      <c r="H45" s="15" t="str">
        <f t="shared" si="18"/>
        <v>✓ Healthy</v>
      </c>
      <c r="I45" s="15" t="str">
        <f t="shared" si="18"/>
        <v>✓ Healthy</v>
      </c>
      <c r="J45" s="15" t="str">
        <f t="shared" si="18"/>
        <v>✓ Healthy</v>
      </c>
      <c r="K45" s="15" t="str">
        <f t="shared" si="18"/>
        <v>✓ Healthy</v>
      </c>
      <c r="L45" s="15" t="str">
        <f t="shared" si="18"/>
        <v>✓ Healthy</v>
      </c>
      <c r="M45" s="15" t="str">
        <f t="shared" si="18"/>
        <v>✓ Healthy</v>
      </c>
      <c r="N45" s="15" t="str">
        <f t="shared" si="18"/>
        <v>✓ Healthy</v>
      </c>
      <c r="O45" s="15" t="str">
        <f t="shared" si="18"/>
        <v>✓ Healthy</v>
      </c>
      <c r="P45" s="15" t="str">
        <f t="shared" si="18"/>
        <v>✓ Healthy</v>
      </c>
      <c r="Q45" s="15" t="str">
        <f t="shared" si="18"/>
        <v>✓ Healthy</v>
      </c>
      <c r="R45" s="15" t="str">
        <f t="shared" si="18"/>
        <v>✓ Healthy</v>
      </c>
      <c r="S45" s="15" t="str">
        <f t="shared" si="18"/>
        <v>✓ Healthy</v>
      </c>
      <c r="T45" s="15" t="str">
        <f t="shared" si="18"/>
        <v>✓ Healthy</v>
      </c>
      <c r="U45" s="15" t="str">
        <f t="shared" si="18"/>
        <v>✓ Healthy</v>
      </c>
      <c r="V45" s="15" t="str">
        <f t="shared" si="18"/>
        <v>✓ Healthy</v>
      </c>
      <c r="W45" s="15" t="str">
        <f t="shared" si="18"/>
        <v>✓ Healthy</v>
      </c>
      <c r="X45" s="15" t="str">
        <f t="shared" si="18"/>
        <v>✓ Healthy</v>
      </c>
      <c r="Y45" s="15" t="str">
        <f t="shared" si="18"/>
        <v>✓ Healthy</v>
      </c>
      <c r="Z45" s="185"/>
      <c r="AB45" s="180"/>
    </row>
    <row r="46" ht="15" customHeight="1">
      <c r="A46" s="187" t="s">
        <v>526</v>
      </c>
      <c r="B46" s="180">
        <f t="shared" si="19" ref="B46:Y46">MIN(100,(B21/B22)*50+IF(B25&lt;=12,50,MAX(0,50-((B25-12)*5))))</f>
        <v>100</v>
      </c>
      <c r="C46" s="180">
        <f t="shared" si="19"/>
        <v>100</v>
      </c>
      <c r="D46" s="180">
        <f t="shared" si="19"/>
        <v>100</v>
      </c>
      <c r="E46" s="180">
        <f t="shared" si="19"/>
        <v>100</v>
      </c>
      <c r="F46" s="180">
        <f t="shared" si="19"/>
        <v>100</v>
      </c>
      <c r="G46" s="180">
        <f t="shared" si="19"/>
        <v>100</v>
      </c>
      <c r="H46" s="180">
        <f t="shared" si="19"/>
        <v>100</v>
      </c>
      <c r="I46" s="180">
        <f t="shared" si="19"/>
        <v>100</v>
      </c>
      <c r="J46" s="180">
        <f t="shared" si="19"/>
        <v>100</v>
      </c>
      <c r="K46" s="180">
        <f t="shared" si="19"/>
        <v>100</v>
      </c>
      <c r="L46" s="180">
        <f t="shared" si="19"/>
        <v>100</v>
      </c>
      <c r="M46" s="180">
        <f t="shared" si="19"/>
        <v>100</v>
      </c>
      <c r="N46" s="180">
        <f t="shared" si="19"/>
        <v>100</v>
      </c>
      <c r="O46" s="180">
        <f t="shared" si="19"/>
        <v>100</v>
      </c>
      <c r="P46" s="180">
        <f t="shared" si="19"/>
        <v>100</v>
      </c>
      <c r="Q46" s="180">
        <f t="shared" si="19"/>
        <v>100</v>
      </c>
      <c r="R46" s="180">
        <f t="shared" si="19"/>
        <v>100</v>
      </c>
      <c r="S46" s="180">
        <f t="shared" si="19"/>
        <v>100</v>
      </c>
      <c r="T46" s="180">
        <f t="shared" si="19"/>
        <v>100</v>
      </c>
      <c r="U46" s="180">
        <f t="shared" si="19"/>
        <v>100</v>
      </c>
      <c r="V46" s="180">
        <f t="shared" si="19"/>
        <v>100</v>
      </c>
      <c r="W46" s="180">
        <f t="shared" si="19"/>
        <v>100</v>
      </c>
      <c r="X46" s="180">
        <f t="shared" si="19"/>
        <v>100</v>
      </c>
      <c r="Y46" s="180">
        <f t="shared" si="19"/>
        <v>100</v>
      </c>
      <c r="Z46" s="188">
        <f t="shared" si="1"/>
        <v>100</v>
      </c>
      <c r="AB46" s="180"/>
    </row>
    <row r="47" ht="15" customHeight="1">
      <c r="AB47" s="180"/>
    </row>
    <row r="48" ht="16.5" customHeight="1">
      <c r="A48" s="197" t="s">
        <v>527</v>
      </c>
      <c r="AB48" s="180"/>
    </row>
    <row r="49" ht="15" customHeight="1">
      <c r="AB49" s="180"/>
    </row>
    <row r="50" ht="15" customHeight="1">
      <c r="A50" s="187" t="s">
        <v>528</v>
      </c>
      <c r="B50" s="37">
        <f>AVERAGE(B16:Y16)</f>
        <v>430.188785068884</v>
      </c>
      <c r="AB50" s="180"/>
    </row>
    <row r="51" ht="15" customHeight="1">
      <c r="A51" s="187" t="s">
        <v>529</v>
      </c>
      <c r="B51" s="114">
        <f>AVERAGE(B8:Y8)</f>
        <v>3.14237876428571</v>
      </c>
      <c r="AB51" s="180"/>
    </row>
    <row r="52" ht="15" customHeight="1">
      <c r="A52" s="187" t="s">
        <v>530</v>
      </c>
      <c r="B52" s="37">
        <f>AVERAGE(B21:Y21)</f>
        <v>136.899174607358</v>
      </c>
      <c r="AB52" s="180"/>
    </row>
    <row r="53" ht="15" customHeight="1">
      <c r="A53" s="187" t="s">
        <v>531</v>
      </c>
      <c r="B53" s="37">
        <f>AVERAGE(B25:Y25)</f>
        <v>0.146095046816056</v>
      </c>
      <c r="AB53" s="180"/>
    </row>
    <row r="54" ht="15" customHeight="1">
      <c r="A54" s="187" t="s">
        <v>532</v>
      </c>
      <c r="B54" s="37">
        <f>Y16</f>
        <v>430.839715090195</v>
      </c>
      <c r="AB54" s="180"/>
    </row>
    <row r="55" ht="15" customHeight="1">
      <c r="A55" s="187" t="s">
        <v>533</v>
      </c>
      <c r="B55" s="113">
        <f>Y8</f>
        <v>3.141382</v>
      </c>
      <c r="AB55" s="180"/>
    </row>
    <row r="56" ht="15" customHeight="1">
      <c r="A56" s="187" t="s">
        <v>534</v>
      </c>
      <c r="B56" s="37">
        <f>Y21</f>
        <v>137.149736991615</v>
      </c>
      <c r="AB56" s="180"/>
    </row>
    <row r="57" ht="15" customHeight="1">
      <c r="A57" s="187" t="s">
        <v>535</v>
      </c>
      <c r="B57" s="37">
        <f>Y25</f>
        <v>0.14582601788892</v>
      </c>
      <c r="AB57" s="180"/>
    </row>
    <row r="58" ht="15" customHeight="1">
      <c r="A58" s="187" t="s">
        <v>536</v>
      </c>
      <c r="B58" s="40">
        <f>COUNTIF(B45:Y45,"✓ Healthy")</f>
        <v>24</v>
      </c>
      <c r="AB58" s="180"/>
    </row>
    <row r="60" ht="12" customHeight="1">
      <c r="A60" s="198" t="s">
        <v>537</v>
      </c>
    </row>
  </sheetData>
  <mergeCells>
    <mergeCell ref="AA4:AB4"/>
    <mergeCell ref="A1:Z1"/>
    <mergeCell ref="A2:Z2"/>
    <mergeCell ref="A48:D48"/>
    <mergeCell ref="A60:Z60"/>
  </mergeCell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2026-02-24T12:38:27Z</dcterms:created>
</cp:coreProperties>
</file>